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mak/Desktop/"/>
    </mc:Choice>
  </mc:AlternateContent>
  <xr:revisionPtr revIDLastSave="0" documentId="13_ncr:1_{549C268E-9F7D-2449-BE07-9152B4730B6A}" xr6:coauthVersionLast="47" xr6:coauthVersionMax="47" xr10:uidLastSave="{00000000-0000-0000-0000-000000000000}"/>
  <bookViews>
    <workbookView xWindow="0" yWindow="500" windowWidth="21380" windowHeight="15840" activeTab="1" xr2:uid="{00000000-000D-0000-FFFF-FFFF00000000}"/>
  </bookViews>
  <sheets>
    <sheet name="Outsource ArtPrep" sheetId="5" r:id="rId1"/>
    <sheet name="Insource ArtPrep" sheetId="6" r:id="rId2"/>
    <sheet name="ArtPrep" sheetId="3" state="hidden" r:id="rId3"/>
    <sheet name="Helix" sheetId="1" state="hidden" r:id="rId4"/>
    <sheet name="Flatbed" sheetId="4" state="hidden" r:id="rId5"/>
    <sheet name="Sheet2" sheetId="2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L7" i="6" s="1"/>
  <c r="D8" i="5"/>
  <c r="L7" i="5" s="1"/>
  <c r="D14" i="6"/>
  <c r="L8" i="6" s="1"/>
  <c r="H6" i="6"/>
  <c r="H11" i="6" s="1"/>
  <c r="H12" i="6" s="1"/>
  <c r="H13" i="6" s="1"/>
  <c r="H14" i="6" s="1"/>
  <c r="L6" i="6"/>
  <c r="L6" i="5"/>
  <c r="L8" i="5"/>
  <c r="H7" i="5"/>
  <c r="H8" i="5" s="1"/>
  <c r="H9" i="5" s="1"/>
  <c r="H10" i="5" s="1"/>
  <c r="D13" i="5"/>
  <c r="D14" i="5" s="1"/>
  <c r="D15" i="5" s="1"/>
  <c r="D16" i="5" s="1"/>
  <c r="D17" i="3"/>
  <c r="I14" i="4"/>
  <c r="O10" i="4"/>
  <c r="E7" i="4"/>
  <c r="O5" i="4"/>
  <c r="P7" i="4" s="1"/>
  <c r="I5" i="4"/>
  <c r="Q3" i="4"/>
  <c r="P3" i="4"/>
  <c r="S6" i="4" s="1"/>
  <c r="H8" i="6" l="1"/>
  <c r="L9" i="6"/>
  <c r="L9" i="5"/>
  <c r="D15" i="6"/>
  <c r="P13" i="4"/>
  <c r="E13" i="4" s="1"/>
  <c r="E15" i="4" s="1"/>
  <c r="I6" i="4" s="1"/>
  <c r="E30" i="4" s="1"/>
  <c r="Q7" i="4"/>
  <c r="Q11" i="4"/>
  <c r="Q13" i="4" s="1"/>
  <c r="P11" i="4"/>
  <c r="U11" i="4"/>
  <c r="U12" i="4" s="1"/>
  <c r="E31" i="4" l="1"/>
  <c r="I7" i="4"/>
  <c r="I8" i="4" l="1"/>
  <c r="I17" i="4"/>
  <c r="I9" i="4" l="1"/>
  <c r="I18" i="4"/>
  <c r="I19" i="4" l="1"/>
  <c r="I24" i="4" s="1"/>
  <c r="I10" i="4"/>
  <c r="I20" i="4" s="1"/>
  <c r="I18" i="3" l="1"/>
  <c r="I22" i="3" s="1"/>
  <c r="D7" i="3"/>
  <c r="D9" i="3" s="1"/>
  <c r="D25" i="3"/>
  <c r="D24" i="3" s="1"/>
  <c r="D23" i="3" s="1"/>
  <c r="D22" i="3" s="1"/>
  <c r="D21" i="3" s="1"/>
  <c r="I14" i="3"/>
  <c r="I6" i="1"/>
  <c r="E9" i="1"/>
  <c r="M13" i="1"/>
  <c r="I23" i="3" l="1"/>
  <c r="D26" i="3"/>
  <c r="M28" i="1"/>
  <c r="Z4" i="1" l="1"/>
  <c r="AA4" i="1" s="1"/>
  <c r="E25" i="1"/>
  <c r="M14" i="1" l="1"/>
  <c r="I15" i="1"/>
  <c r="I19" i="1" l="1"/>
  <c r="M18" i="1" s="1"/>
  <c r="W4" i="1" l="1"/>
  <c r="V6" i="1" l="1"/>
  <c r="V7" i="1" s="1"/>
  <c r="V4" i="1"/>
  <c r="B1" i="2"/>
  <c r="C1" i="2"/>
  <c r="D1" i="2"/>
  <c r="A2" i="2"/>
  <c r="A3" i="2"/>
  <c r="A4" i="2"/>
  <c r="A5" i="2"/>
  <c r="A9" i="2"/>
  <c r="A10" i="2"/>
  <c r="A11" i="2"/>
  <c r="A12" i="2"/>
  <c r="A15" i="2"/>
  <c r="B15" i="2"/>
  <c r="C15" i="2"/>
  <c r="A19" i="2"/>
  <c r="A20" i="2"/>
  <c r="A21" i="2"/>
  <c r="B19" i="2" l="1"/>
  <c r="C19" i="2" l="1"/>
  <c r="C2" i="2" l="1"/>
  <c r="C9" i="2"/>
  <c r="C3" i="2"/>
  <c r="B21" i="2" l="1"/>
  <c r="B20" i="2"/>
  <c r="D9" i="2"/>
  <c r="D2" i="2"/>
  <c r="C21" i="2"/>
  <c r="C20" i="2"/>
  <c r="C10" i="2"/>
  <c r="C4" i="2"/>
  <c r="D10" i="2" l="1"/>
  <c r="D3" i="2"/>
  <c r="C11" i="2"/>
  <c r="C5" i="2"/>
  <c r="D4" i="2" l="1"/>
  <c r="D11" i="2" l="1"/>
  <c r="C16" i="2"/>
  <c r="C12" i="2"/>
  <c r="D12" i="2"/>
  <c r="D5" i="2"/>
  <c r="B16" i="2"/>
  <c r="B3" i="2"/>
  <c r="B2" i="2"/>
  <c r="I18" i="1"/>
  <c r="I7" i="1"/>
  <c r="I8" i="1"/>
  <c r="I9" i="1"/>
  <c r="I10" i="1" s="1"/>
  <c r="B4" i="2"/>
  <c r="I16" i="1" l="1"/>
  <c r="M9" i="1"/>
  <c r="I17" i="1"/>
  <c r="B5" i="2"/>
  <c r="M16" i="1" l="1"/>
  <c r="M8" i="1"/>
  <c r="M10" i="1"/>
  <c r="M15" i="1"/>
  <c r="I20" i="1"/>
  <c r="I23" i="1" s="1"/>
  <c r="I24" i="1" l="1"/>
  <c r="B9" i="2" s="1"/>
  <c r="I25" i="1"/>
  <c r="B10" i="2" s="1"/>
  <c r="I26" i="1"/>
  <c r="I27" i="1"/>
  <c r="B12" i="2" s="1"/>
  <c r="M7" i="1"/>
  <c r="M6" i="1" l="1"/>
  <c r="M5" i="1" s="1"/>
  <c r="M17" i="1" s="1"/>
  <c r="M19" i="1" s="1"/>
  <c r="M22" i="1" s="1"/>
  <c r="I30" i="1"/>
  <c r="I31" i="1"/>
  <c r="B11" i="2"/>
  <c r="M23" i="1" l="1"/>
  <c r="M26" i="1"/>
  <c r="M25" i="1"/>
  <c r="M24" i="1"/>
  <c r="M30" i="1" l="1"/>
  <c r="M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tc={2438251C-970A-408A-A03C-88659134B396}</author>
    <author>tc={96D6A586-D901-451F-A279-A1A893BD5F0C}</author>
    <author>tc={52061E40-0D32-4185-AB73-3095A3F2BA37}</author>
    <author>tc={FBCD3E21-B1CF-4FA7-AAF4-C942F730E226}</author>
    <author>tc={EF0287F0-FE16-4012-B77F-ED225F509495}</author>
  </authors>
  <commentList>
    <comment ref="I7" authorId="0" shapeId="0" xr:uid="{2438251C-970A-408A-A03C-88659134B396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make an assumption, based on usage at DOD, it is about 3 /100 artworks</t>
      </text>
    </comment>
    <comment ref="D8" authorId="1" shapeId="0" xr:uid="{96D6A586-D901-451F-A279-A1A893BD5F0C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there be payment terms depending on the type of license, or is it lump sum?</t>
      </text>
    </comment>
    <comment ref="B12" authorId="2" shapeId="0" xr:uid="{52061E40-0D32-4185-AB73-3095A3F2BA37}">
      <text>
        <t>[Threaded comment]
Your version of Excel allows you to read this threaded comment; however, any edits to it will get removed if the file is opened in a newer version of Excel. Learn more: https://go.microsoft.com/fwlink/?linkid=870924
Comment:
    Hourly Relevant? Salary?</t>
      </text>
    </comment>
    <comment ref="I15" authorId="3" shapeId="0" xr:uid="{FBCD3E21-B1CF-4FA7-AAF4-C942F730E226}">
      <text>
        <t>[Threaded comment]
Your version of Excel allows you to read this threaded comment; however, any edits to it will get removed if the file is opened in a newer version of Excel. Learn more: https://go.microsoft.com/fwlink/?linkid=870924
Comment:
    Blank if automatic</t>
      </text>
    </comment>
    <comment ref="I21" authorId="4" shapeId="0" xr:uid="{EF0287F0-FE16-4012-B77F-ED225F50949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if we want to factor this in - hard to quantify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tc={61B24FEB-48C5-49EC-86DF-6FFB7EE361C0}</author>
    <author>tc={630BD5C7-34A6-4F89-83EB-6BE839090E85}</author>
  </authors>
  <commentList>
    <comment ref="E5" authorId="0" shapeId="0" xr:uid="{61B24FEB-48C5-49EC-86DF-6FFB7EE361C0}">
      <text>
        <t>[Threaded comment]
Your version of Excel allows you to read this threaded comment; however, any edits to it will get removed if the file is opened in a newer version of Excel. Learn more: https://go.microsoft.com/fwlink/?linkid=870924
Comment:
    Where should we put the X360, because it is a TIFF product? Just include that in the notes section below?</t>
      </text>
    </comment>
    <comment ref="C8" authorId="1" shapeId="0" xr:uid="{630BD5C7-34A6-4F89-83EB-6BE839090E85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different modes are there for each machine and the relative "Imaging Time"</t>
      </text>
    </comment>
  </commentList>
</comments>
</file>

<file path=xl/sharedStrings.xml><?xml version="1.0" encoding="utf-8"?>
<sst xmlns="http://schemas.openxmlformats.org/spreadsheetml/2006/main" count="276" uniqueCount="185">
  <si>
    <t>Denotes an editable field</t>
  </si>
  <si>
    <t>Denotes a fixed field</t>
  </si>
  <si>
    <t>Color Mode</t>
  </si>
  <si>
    <t>Artwork Height</t>
  </si>
  <si>
    <t>Helix Type</t>
  </si>
  <si>
    <t>Cost Per Part</t>
  </si>
  <si>
    <t>CMYK</t>
  </si>
  <si>
    <t>CMYK+W</t>
  </si>
  <si>
    <t>CMYK+W+V</t>
  </si>
  <si>
    <t>2"</t>
  </si>
  <si>
    <t>3"</t>
  </si>
  <si>
    <t>4"</t>
  </si>
  <si>
    <t>6"</t>
  </si>
  <si>
    <t>8"</t>
  </si>
  <si>
    <t>50.8 mm</t>
  </si>
  <si>
    <t>76.2 mm</t>
  </si>
  <si>
    <t>101.6 mm</t>
  </si>
  <si>
    <t>152.4 mm</t>
  </si>
  <si>
    <t>203.2 mm</t>
  </si>
  <si>
    <t>Standard</t>
  </si>
  <si>
    <t>Overdrive</t>
  </si>
  <si>
    <t>Ink Cost</t>
  </si>
  <si>
    <t>Ink Cost Per Part</t>
  </si>
  <si>
    <t>Imaging Time</t>
  </si>
  <si>
    <t>Parts Per Day</t>
  </si>
  <si>
    <t>Imaging Time (Seconds)</t>
  </si>
  <si>
    <t>PARTS PRODUCED*</t>
  </si>
  <si>
    <t>*Parts Produced represents machine time only. Does not factor in human interaction/loading.</t>
  </si>
  <si>
    <t>LABOR</t>
  </si>
  <si>
    <t>PRINT TYPE</t>
  </si>
  <si>
    <t>PARTS</t>
  </si>
  <si>
    <t>Yearly Labor</t>
  </si>
  <si>
    <t>COSTS</t>
  </si>
  <si>
    <t>Term</t>
  </si>
  <si>
    <t>Lease Term</t>
  </si>
  <si>
    <t>Plan to lease</t>
  </si>
  <si>
    <t>No</t>
  </si>
  <si>
    <t>Yes</t>
  </si>
  <si>
    <t>LEASE/FINANCING</t>
  </si>
  <si>
    <t xml:space="preserve">TOTAL PROFIT PER ANNUAL VOLUME </t>
  </si>
  <si>
    <t xml:space="preserve">TOTAL PROFIT </t>
  </si>
  <si>
    <t>ANNUAL VOLUME</t>
  </si>
  <si>
    <t>Total</t>
  </si>
  <si>
    <t>FULL CAPACITY</t>
  </si>
  <si>
    <t>Up Time</t>
  </si>
  <si>
    <t>Annual Volume</t>
  </si>
  <si>
    <t>Sell Price Per Unit</t>
  </si>
  <si>
    <t>Hours Worked Per Shift</t>
  </si>
  <si>
    <t>Number of Shifts Per Day</t>
  </si>
  <si>
    <t>Number of Days Worked Per Week</t>
  </si>
  <si>
    <t>Plan to Lease?</t>
  </si>
  <si>
    <t>Lease Cost Per Month</t>
  </si>
  <si>
    <t xml:space="preserve">PRICE OF MACHINE </t>
  </si>
  <si>
    <t xml:space="preserve">PAYBACK IN MONTHS </t>
  </si>
  <si>
    <t>Hour</t>
  </si>
  <si>
    <t>Day</t>
  </si>
  <si>
    <t>Week</t>
  </si>
  <si>
    <t>Month</t>
  </si>
  <si>
    <t>Year</t>
  </si>
  <si>
    <t xml:space="preserve"> </t>
  </si>
  <si>
    <t>Labor Cost Per Part</t>
  </si>
  <si>
    <t>Annual Lease/Finance Cost Per Unit</t>
  </si>
  <si>
    <t>Per Part</t>
  </si>
  <si>
    <t>Cost of Machine per month over  lease term</t>
  </si>
  <si>
    <t>Fully Burdened Rate Per Hour</t>
  </si>
  <si>
    <t>Unit Filters and Wearable Parts</t>
  </si>
  <si>
    <t xml:space="preserve">Service cost (2 trips/year) </t>
  </si>
  <si>
    <t>% of Full Capacity</t>
  </si>
  <si>
    <t>LEASED CASHFLOW PER MONTH</t>
  </si>
  <si>
    <t>Avg. Artwork Height</t>
  </si>
  <si>
    <t>ArtPrep Cylinder Payback Calculator</t>
  </si>
  <si>
    <t>Machine Type</t>
  </si>
  <si>
    <t>Helix</t>
  </si>
  <si>
    <t>LICENSE/FINANCING</t>
  </si>
  <si>
    <t>License Type</t>
  </si>
  <si>
    <t xml:space="preserve"> Cost Per Month</t>
  </si>
  <si>
    <t>Number of Artists</t>
  </si>
  <si>
    <t>Artworks Per Day</t>
  </si>
  <si>
    <t>Proof?</t>
  </si>
  <si>
    <t>Order Submission Type</t>
  </si>
  <si>
    <t>Order Submission Time</t>
  </si>
  <si>
    <t>Order Submission Method</t>
  </si>
  <si>
    <t>Email</t>
  </si>
  <si>
    <t>Cost</t>
  </si>
  <si>
    <t>Additional Licenses</t>
  </si>
  <si>
    <t>Proof Time (mins.)</t>
  </si>
  <si>
    <t>Avg. Correspondence Time</t>
  </si>
  <si>
    <t>Manual Artwork Prep Adobe (mins.)</t>
  </si>
  <si>
    <t>TOTAL TIME PER ARTWORK</t>
  </si>
  <si>
    <t>TOTAL TIME PREPPING ARTWORK</t>
  </si>
  <si>
    <t>Preparation Time Per Artwork</t>
  </si>
  <si>
    <t>Artwork Correction (mins.)</t>
  </si>
  <si>
    <t xml:space="preserve">Artwork Correction Time* </t>
  </si>
  <si>
    <t>*(&lt;5% Artwork)</t>
  </si>
  <si>
    <t>TOTAL ARTWORK PREPARATION TIME</t>
  </si>
  <si>
    <t>Denotes field to discuss</t>
  </si>
  <si>
    <t>STANDARD PREPARATION TIME (Mins.)</t>
  </si>
  <si>
    <t>Avg Salary</t>
  </si>
  <si>
    <t>Cost Per Artwork</t>
  </si>
  <si>
    <t>ARTPREP PREPARATION TIME</t>
  </si>
  <si>
    <t>ArtPrep Flatbed Payback Calculator</t>
  </si>
  <si>
    <t>X5T</t>
  </si>
  <si>
    <t>Print area length (inch)</t>
  </si>
  <si>
    <t>PARTS PRODUCED</t>
  </si>
  <si>
    <t>MAX WIDTH (no spacing)</t>
  </si>
  <si>
    <t>Print area width (inch)</t>
  </si>
  <si>
    <t>Parts per hour</t>
  </si>
  <si>
    <t>Average space between parts</t>
  </si>
  <si>
    <t>Total Print Area</t>
  </si>
  <si>
    <t>Parts per day</t>
  </si>
  <si>
    <t># of parts that fit in width</t>
  </si>
  <si>
    <t>week</t>
  </si>
  <si>
    <t>Part length (inch)</t>
  </si>
  <si>
    <t>month</t>
  </si>
  <si>
    <t>Sq</t>
  </si>
  <si>
    <t>Round</t>
  </si>
  <si>
    <t>Part width (inch)</t>
  </si>
  <si>
    <t>year</t>
  </si>
  <si>
    <t>MAX Length (no spacing)</t>
  </si>
  <si>
    <t>EXAMPLE</t>
  </si>
  <si>
    <t>Broken down</t>
  </si>
  <si>
    <t>Part Shape</t>
  </si>
  <si>
    <t>Square</t>
  </si>
  <si>
    <t># of parts that fit in length</t>
  </si>
  <si>
    <t>Total space taken up by fixture</t>
  </si>
  <si>
    <t>Sale price of part</t>
  </si>
  <si>
    <t>Max parts -fixture space</t>
  </si>
  <si>
    <t>MAX Parts per print area</t>
  </si>
  <si>
    <t>Cost of part</t>
  </si>
  <si>
    <t>total parts per print area</t>
  </si>
  <si>
    <t>Time to print 1 print area (minutes</t>
  </si>
  <si>
    <t xml:space="preserve"> Total Profit per part</t>
  </si>
  <si>
    <t>Total printed parts per minute</t>
  </si>
  <si>
    <t>TOTAL PROFIT</t>
  </si>
  <si>
    <t>X5</t>
  </si>
  <si>
    <t>Number of hours worked per day</t>
  </si>
  <si>
    <t>Additional Profit per day</t>
  </si>
  <si>
    <t>Number of days worked per week</t>
  </si>
  <si>
    <t>COST OF MACHINE</t>
  </si>
  <si>
    <t>Payback in Months</t>
  </si>
  <si>
    <t>Select</t>
  </si>
  <si>
    <t>Total printed parts per day</t>
  </si>
  <si>
    <t>Total printed parts per week</t>
  </si>
  <si>
    <t>Total Cost Per Day</t>
  </si>
  <si>
    <t>Artwork Prep Method</t>
  </si>
  <si>
    <t>ArtPrep</t>
  </si>
  <si>
    <t>COST PER ARTWORK</t>
  </si>
  <si>
    <t>Lower Varnish, Gradient, Transparency?</t>
  </si>
  <si>
    <t>Desktop (Manual)</t>
  </si>
  <si>
    <t>Number of artworks/day</t>
  </si>
  <si>
    <t>Cost per artwork</t>
  </si>
  <si>
    <t xml:space="preserve">*Assumption is one 8 hour shift per day </t>
  </si>
  <si>
    <t>ArtPrep Cost</t>
  </si>
  <si>
    <t>LABOR COST</t>
  </si>
  <si>
    <t>ARTPREP COST</t>
  </si>
  <si>
    <t>Cost Per Day</t>
  </si>
  <si>
    <t>Cost Per Month</t>
  </si>
  <si>
    <t>Cost Per Week</t>
  </si>
  <si>
    <t>Cost Per Year</t>
  </si>
  <si>
    <t>Regular Prep Cost</t>
  </si>
  <si>
    <t>Average Sell Price</t>
  </si>
  <si>
    <t>ArtPrep Payback Calculator</t>
  </si>
  <si>
    <t>Yearly Saving</t>
  </si>
  <si>
    <t>Average Salary</t>
  </si>
  <si>
    <t># of Artworks Per Day</t>
  </si>
  <si>
    <t>Avg. Correspondence Time About Artwork Specifics</t>
  </si>
  <si>
    <t>Manual Preparation in Adobe Software</t>
  </si>
  <si>
    <t>Artwork Correction for Manual Mistakes</t>
  </si>
  <si>
    <t>Total Artwork Cost Per Day</t>
  </si>
  <si>
    <t>Proof and Proof Approval Time</t>
  </si>
  <si>
    <t>**</t>
  </si>
  <si>
    <t>Denotes factors for consideration</t>
  </si>
  <si>
    <t>**Consider the follwing factors in determining prep time per artwork</t>
  </si>
  <si>
    <t>**Time Per Artwork (Mins.)</t>
  </si>
  <si>
    <t>Yearly Cost Saving</t>
  </si>
  <si>
    <t>Standard Prep Time Per Day (Hours)</t>
  </si>
  <si>
    <t>Time Saving with Art Prep</t>
  </si>
  <si>
    <t>Yearly Time Savings</t>
  </si>
  <si>
    <t>% of Time Saved</t>
  </si>
  <si>
    <t xml:space="preserve">**STANDARD PREPARATION TIME </t>
  </si>
  <si>
    <t>Correspondence Issues</t>
  </si>
  <si>
    <t>COST PER ARTWORK COMPARISON</t>
  </si>
  <si>
    <t>ARTWORK PREP TIME PER ARTIST (HOURS)</t>
  </si>
  <si>
    <t>ArtPrep PRO</t>
  </si>
  <si>
    <t>Art File Transfer Issues (PNG to JPG,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</si>
</sst>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0.0"/>
    <numFmt numFmtId="167" formatCode="&quot;$&quot;#,##0.00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E0048"/>
      <name val="Calibri"/>
      <family val="2"/>
      <scheme val="minor"/>
    </font>
    <font>
      <sz val="11"/>
      <color rgb="FF0E0048"/>
      <name val="Calibri"/>
      <family val="2"/>
      <scheme val="minor"/>
    </font>
    <font>
      <b/>
      <sz val="12"/>
      <color rgb="FF0E0048"/>
      <name val="Calibri"/>
      <family val="2"/>
      <scheme val="minor"/>
    </font>
    <font>
      <b/>
      <sz val="16"/>
      <color rgb="FF0E0048"/>
      <name val="Proxima Nova"/>
      <family val="3"/>
    </font>
    <font>
      <b/>
      <sz val="16"/>
      <color rgb="FF0E0048"/>
      <name val="Arial Black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E004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E004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0E004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4CF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44" fontId="5" fillId="3" borderId="17" xfId="1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horizontal="right" vertical="center"/>
      <protection locked="0"/>
    </xf>
    <xf numFmtId="0" fontId="0" fillId="3" borderId="24" xfId="0" applyFill="1" applyBorder="1" applyAlignment="1" applyProtection="1">
      <alignment horizontal="right"/>
      <protection locked="0"/>
    </xf>
    <xf numFmtId="44" fontId="5" fillId="3" borderId="6" xfId="1" applyFont="1" applyFill="1" applyBorder="1" applyProtection="1">
      <protection locked="0"/>
    </xf>
    <xf numFmtId="44" fontId="5" fillId="3" borderId="2" xfId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44" fontId="5" fillId="4" borderId="0" xfId="1" applyFont="1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9" fontId="0" fillId="3" borderId="6" xfId="3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7" fillId="4" borderId="0" xfId="0" applyFont="1" applyFill="1" applyAlignment="1" applyProtection="1">
      <protection locked="0"/>
    </xf>
    <xf numFmtId="0" fontId="8" fillId="4" borderId="0" xfId="0" applyFont="1" applyFill="1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0" fillId="2" borderId="3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165" fontId="0" fillId="2" borderId="20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4" fontId="0" fillId="2" borderId="20" xfId="0" applyNumberFormat="1" applyFill="1" applyBorder="1" applyProtection="1">
      <protection locked="0"/>
    </xf>
    <xf numFmtId="0" fontId="0" fillId="5" borderId="3" xfId="0" applyFill="1" applyBorder="1" applyAlignment="1" applyProtection="1">
      <alignment horizontal="right"/>
      <protection locked="0"/>
    </xf>
    <xf numFmtId="0" fontId="6" fillId="2" borderId="30" xfId="0" applyFont="1" applyFill="1" applyBorder="1" applyAlignment="1" applyProtection="1">
      <alignment horizontal="right"/>
      <protection locked="0"/>
    </xf>
    <xf numFmtId="0" fontId="6" fillId="2" borderId="31" xfId="0" applyFont="1" applyFill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164" fontId="5" fillId="2" borderId="3" xfId="2" applyNumberFormat="1" applyFont="1" applyFill="1" applyBorder="1" applyAlignment="1" applyProtection="1">
      <alignment horizontal="right" vertical="center"/>
      <protection locked="0"/>
    </xf>
    <xf numFmtId="43" fontId="0" fillId="4" borderId="0" xfId="0" applyNumberFormat="1" applyFill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164" fontId="5" fillId="2" borderId="6" xfId="2" applyNumberFormat="1" applyFont="1" applyFill="1" applyBorder="1" applyAlignment="1" applyProtection="1">
      <alignment horizontal="right" vertical="center"/>
      <protection locked="0"/>
    </xf>
    <xf numFmtId="9" fontId="5" fillId="2" borderId="1" xfId="3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right"/>
      <protection locked="0"/>
    </xf>
    <xf numFmtId="9" fontId="0" fillId="4" borderId="0" xfId="3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right" vertical="center"/>
      <protection locked="0"/>
    </xf>
    <xf numFmtId="164" fontId="5" fillId="4" borderId="0" xfId="2" applyNumberFormat="1" applyFont="1" applyFill="1" applyBorder="1" applyAlignment="1" applyProtection="1">
      <alignment horizontal="right" vertical="center"/>
      <protection locked="0"/>
    </xf>
    <xf numFmtId="0" fontId="3" fillId="2" borderId="16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right" vertical="center"/>
      <protection locked="0"/>
    </xf>
    <xf numFmtId="43" fontId="5" fillId="2" borderId="3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44" fontId="0" fillId="2" borderId="3" xfId="1" applyFont="1" applyFill="1" applyBorder="1" applyProtection="1">
      <protection locked="0"/>
    </xf>
    <xf numFmtId="164" fontId="2" fillId="4" borderId="0" xfId="2" applyNumberFormat="1" applyFont="1" applyFill="1" applyBorder="1" applyProtection="1">
      <protection locked="0"/>
    </xf>
    <xf numFmtId="44" fontId="0" fillId="2" borderId="6" xfId="0" applyNumberForma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0" fillId="4" borderId="0" xfId="0" applyFill="1" applyBorder="1" applyAlignment="1" applyProtection="1">
      <alignment horizontal="right"/>
      <protection locked="0"/>
    </xf>
    <xf numFmtId="44" fontId="0" fillId="4" borderId="0" xfId="0" applyNumberFormat="1" applyFill="1" applyBorder="1" applyProtection="1">
      <protection locked="0"/>
    </xf>
    <xf numFmtId="44" fontId="0" fillId="4" borderId="0" xfId="0" applyNumberFormat="1" applyFill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right"/>
      <protection locked="0"/>
    </xf>
    <xf numFmtId="44" fontId="4" fillId="2" borderId="9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  <protection locked="0"/>
    </xf>
    <xf numFmtId="44" fontId="0" fillId="2" borderId="6" xfId="0" applyNumberFormat="1" applyFill="1" applyBorder="1" applyAlignment="1" applyProtection="1">
      <alignment horizontal="right"/>
      <protection locked="0"/>
    </xf>
    <xf numFmtId="44" fontId="5" fillId="2" borderId="6" xfId="1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2" borderId="18" xfId="0" applyFill="1" applyBorder="1" applyProtection="1">
      <protection locked="0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44" fontId="0" fillId="4" borderId="1" xfId="0" applyNumberForma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0" fontId="2" fillId="4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0" xfId="0" applyNumberFormat="1" applyProtection="1">
      <protection locked="0"/>
    </xf>
    <xf numFmtId="164" fontId="0" fillId="0" borderId="0" xfId="2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5" fillId="3" borderId="2" xfId="2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44" fontId="0" fillId="4" borderId="0" xfId="0" applyNumberFormat="1" applyFill="1" applyBorder="1" applyAlignment="1" applyProtection="1">
      <alignment horizontal="right"/>
      <protection locked="0"/>
    </xf>
    <xf numFmtId="0" fontId="0" fillId="4" borderId="0" xfId="0" applyFill="1" applyBorder="1"/>
    <xf numFmtId="0" fontId="0" fillId="4" borderId="24" xfId="0" applyFill="1" applyBorder="1" applyAlignment="1" applyProtection="1">
      <alignment horizontal="right"/>
      <protection locked="0"/>
    </xf>
    <xf numFmtId="0" fontId="5" fillId="4" borderId="47" xfId="0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164" fontId="5" fillId="4" borderId="2" xfId="0" applyNumberFormat="1" applyFont="1" applyFill="1" applyBorder="1" applyAlignment="1" applyProtection="1">
      <alignment vertical="center"/>
      <protection locked="0"/>
    </xf>
    <xf numFmtId="0" fontId="0" fillId="4" borderId="42" xfId="0" applyFill="1" applyBorder="1" applyAlignment="1" applyProtection="1">
      <alignment horizontal="right"/>
      <protection locked="0"/>
    </xf>
    <xf numFmtId="0" fontId="0" fillId="4" borderId="43" xfId="0" applyFill="1" applyBorder="1" applyAlignment="1" applyProtection="1">
      <alignment horizontal="right"/>
      <protection locked="0"/>
    </xf>
    <xf numFmtId="164" fontId="5" fillId="4" borderId="3" xfId="2" applyNumberFormat="1" applyFont="1" applyFill="1" applyBorder="1" applyAlignment="1" applyProtection="1">
      <alignment horizontal="right" vertical="center"/>
      <protection locked="0"/>
    </xf>
    <xf numFmtId="167" fontId="0" fillId="4" borderId="24" xfId="0" applyNumberFormat="1" applyFill="1" applyBorder="1" applyAlignment="1" applyProtection="1">
      <alignment horizontal="right"/>
      <protection locked="0"/>
    </xf>
    <xf numFmtId="44" fontId="0" fillId="4" borderId="6" xfId="0" applyNumberFormat="1" applyFill="1" applyBorder="1" applyAlignment="1" applyProtection="1">
      <alignment horizontal="right"/>
      <protection locked="0"/>
    </xf>
    <xf numFmtId="164" fontId="5" fillId="4" borderId="6" xfId="2" applyNumberFormat="1" applyFont="1" applyFill="1" applyBorder="1" applyAlignment="1" applyProtection="1">
      <alignment horizontal="right" vertical="center"/>
      <protection locked="0"/>
    </xf>
    <xf numFmtId="9" fontId="5" fillId="4" borderId="1" xfId="3" applyFont="1" applyFill="1" applyBorder="1" applyAlignment="1" applyProtection="1">
      <alignment horizontal="right" vertical="center"/>
      <protection locked="0"/>
    </xf>
    <xf numFmtId="39" fontId="5" fillId="4" borderId="3" xfId="2" applyNumberFormat="1" applyFont="1" applyFill="1" applyBorder="1" applyAlignment="1" applyProtection="1">
      <alignment vertical="center"/>
      <protection locked="0"/>
    </xf>
    <xf numFmtId="0" fontId="0" fillId="4" borderId="24" xfId="0" quotePrefix="1" applyFill="1" applyBorder="1" applyAlignment="1" applyProtection="1">
      <alignment horizontal="right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164" fontId="0" fillId="4" borderId="0" xfId="2" applyNumberFormat="1" applyFont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5" fillId="3" borderId="36" xfId="0" applyFont="1" applyFill="1" applyBorder="1" applyAlignment="1" applyProtection="1">
      <alignment horizontal="right" vertical="center"/>
      <protection locked="0"/>
    </xf>
    <xf numFmtId="6" fontId="5" fillId="4" borderId="6" xfId="0" applyNumberFormat="1" applyFont="1" applyFill="1" applyBorder="1" applyAlignment="1" applyProtection="1">
      <alignment horizontal="right" vertical="center"/>
      <protection locked="0"/>
    </xf>
    <xf numFmtId="164" fontId="5" fillId="5" borderId="7" xfId="2" applyNumberFormat="1" applyFont="1" applyFill="1" applyBorder="1" applyAlignment="1" applyProtection="1">
      <alignment vertical="center"/>
      <protection locked="0"/>
    </xf>
    <xf numFmtId="39" fontId="5" fillId="4" borderId="17" xfId="1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44" fontId="5" fillId="3" borderId="27" xfId="1" applyFont="1" applyFill="1" applyBorder="1" applyAlignment="1" applyProtection="1">
      <alignment vertical="center"/>
      <protection locked="0"/>
    </xf>
    <xf numFmtId="44" fontId="5" fillId="3" borderId="45" xfId="1" applyFont="1" applyFill="1" applyBorder="1" applyAlignment="1" applyProtection="1">
      <alignment vertical="center"/>
      <protection locked="0"/>
    </xf>
    <xf numFmtId="44" fontId="4" fillId="2" borderId="41" xfId="1" applyFont="1" applyFill="1" applyBorder="1" applyAlignment="1" applyProtection="1">
      <alignment vertical="center"/>
      <protection locked="0"/>
    </xf>
    <xf numFmtId="164" fontId="4" fillId="2" borderId="9" xfId="2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right" vertical="center"/>
      <protection locked="0"/>
    </xf>
    <xf numFmtId="0" fontId="13" fillId="4" borderId="0" xfId="0" applyFont="1" applyFill="1" applyProtection="1"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0" xfId="1" applyFont="1" applyBorder="1" applyProtection="1">
      <protection locked="0"/>
    </xf>
    <xf numFmtId="164" fontId="2" fillId="7" borderId="6" xfId="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7" borderId="6" xfId="2" applyNumberFormat="1" applyFont="1" applyFill="1" applyBorder="1" applyAlignment="1" applyProtection="1">
      <alignment horizontal="right" vertical="center"/>
      <protection locked="0"/>
    </xf>
    <xf numFmtId="164" fontId="0" fillId="0" borderId="0" xfId="2" applyNumberFormat="1" applyFont="1" applyBorder="1" applyProtection="1">
      <protection locked="0"/>
    </xf>
    <xf numFmtId="0" fontId="2" fillId="0" borderId="0" xfId="0" applyFont="1" applyProtection="1">
      <protection locked="0"/>
    </xf>
    <xf numFmtId="6" fontId="5" fillId="4" borderId="0" xfId="0" applyNumberFormat="1" applyFont="1" applyFill="1" applyBorder="1" applyAlignment="1" applyProtection="1">
      <alignment horizontal="right" vertical="center"/>
      <protection locked="0"/>
    </xf>
    <xf numFmtId="168" fontId="5" fillId="4" borderId="39" xfId="0" applyNumberFormat="1" applyFont="1" applyFill="1" applyBorder="1" applyAlignment="1" applyProtection="1">
      <alignment horizontal="right" vertical="center"/>
      <protection locked="0"/>
    </xf>
    <xf numFmtId="0" fontId="11" fillId="5" borderId="42" xfId="0" applyFont="1" applyFill="1" applyBorder="1" applyAlignment="1" applyProtection="1">
      <alignment horizontal="right"/>
      <protection locked="0"/>
    </xf>
    <xf numFmtId="0" fontId="11" fillId="5" borderId="43" xfId="0" applyFont="1" applyFill="1" applyBorder="1" applyAlignment="1" applyProtection="1">
      <alignment horizontal="right"/>
      <protection locked="0"/>
    </xf>
    <xf numFmtId="164" fontId="5" fillId="4" borderId="44" xfId="2" applyNumberFormat="1" applyFont="1" applyFill="1" applyBorder="1" applyAlignment="1" applyProtection="1">
      <alignment horizontal="right" vertical="center"/>
      <protection locked="0"/>
    </xf>
    <xf numFmtId="164" fontId="5" fillId="4" borderId="40" xfId="2" applyNumberFormat="1" applyFont="1" applyFill="1" applyBorder="1" applyAlignment="1" applyProtection="1">
      <alignment horizontal="right" vertical="center"/>
      <protection locked="0"/>
    </xf>
    <xf numFmtId="9" fontId="5" fillId="4" borderId="15" xfId="3" applyFont="1" applyFill="1" applyBorder="1" applyAlignment="1" applyProtection="1">
      <alignment horizontal="right" vertical="center"/>
      <protection locked="0"/>
    </xf>
    <xf numFmtId="0" fontId="0" fillId="4" borderId="18" xfId="0" applyFill="1" applyBorder="1"/>
    <xf numFmtId="164" fontId="5" fillId="4" borderId="49" xfId="0" applyNumberFormat="1" applyFont="1" applyFill="1" applyBorder="1" applyAlignment="1" applyProtection="1">
      <alignment vertical="center"/>
      <protection locked="0"/>
    </xf>
    <xf numFmtId="0" fontId="0" fillId="4" borderId="22" xfId="0" applyFill="1" applyBorder="1"/>
    <xf numFmtId="0" fontId="6" fillId="4" borderId="29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protection locked="0"/>
    </xf>
    <xf numFmtId="0" fontId="5" fillId="6" borderId="24" xfId="0" applyFont="1" applyFill="1" applyBorder="1" applyAlignment="1" applyProtection="1">
      <alignment vertical="center"/>
      <protection locked="0"/>
    </xf>
    <xf numFmtId="167" fontId="5" fillId="6" borderId="3" xfId="0" applyNumberFormat="1" applyFont="1" applyFill="1" applyBorder="1" applyAlignment="1" applyProtection="1">
      <alignment horizontal="right" vertical="center"/>
      <protection locked="0"/>
    </xf>
    <xf numFmtId="164" fontId="5" fillId="6" borderId="24" xfId="0" applyNumberFormat="1" applyFont="1" applyFill="1" applyBorder="1" applyAlignment="1" applyProtection="1">
      <alignment vertical="center"/>
      <protection locked="0"/>
    </xf>
    <xf numFmtId="164" fontId="5" fillId="8" borderId="3" xfId="2" applyNumberFormat="1" applyFont="1" applyFill="1" applyBorder="1" applyAlignment="1" applyProtection="1">
      <alignment horizontal="right" vertical="center"/>
      <protection locked="0"/>
    </xf>
    <xf numFmtId="0" fontId="0" fillId="6" borderId="24" xfId="0" applyFill="1" applyBorder="1" applyAlignment="1" applyProtection="1">
      <alignment horizontal="right"/>
      <protection locked="0"/>
    </xf>
    <xf numFmtId="164" fontId="5" fillId="8" borderId="39" xfId="2" applyNumberFormat="1" applyFont="1" applyFill="1" applyBorder="1" applyAlignment="1" applyProtection="1">
      <alignment horizontal="right" vertical="center"/>
      <protection locked="0"/>
    </xf>
    <xf numFmtId="7" fontId="5" fillId="6" borderId="3" xfId="2" applyNumberFormat="1" applyFont="1" applyFill="1" applyBorder="1" applyAlignment="1" applyProtection="1">
      <alignment horizontal="right" vertical="center"/>
      <protection locked="0"/>
    </xf>
    <xf numFmtId="167" fontId="11" fillId="6" borderId="3" xfId="0" applyNumberFormat="1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0" fillId="6" borderId="18" xfId="0" applyFill="1" applyBorder="1" applyProtection="1">
      <protection locked="0"/>
    </xf>
    <xf numFmtId="0" fontId="0" fillId="2" borderId="18" xfId="0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167" fontId="5" fillId="8" borderId="39" xfId="0" applyNumberFormat="1" applyFont="1" applyFill="1" applyBorder="1" applyAlignment="1" applyProtection="1">
      <alignment horizontal="right" vertical="center"/>
    </xf>
    <xf numFmtId="167" fontId="0" fillId="8" borderId="39" xfId="0" applyNumberFormat="1" applyFill="1" applyBorder="1" applyProtection="1"/>
    <xf numFmtId="167" fontId="0" fillId="8" borderId="3" xfId="0" applyNumberFormat="1" applyFill="1" applyBorder="1" applyProtection="1"/>
    <xf numFmtId="167" fontId="0" fillId="8" borderId="9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7" fontId="4" fillId="2" borderId="24" xfId="0" applyNumberFormat="1" applyFont="1" applyFill="1" applyBorder="1" applyAlignment="1" applyProtection="1">
      <alignment vertical="center"/>
    </xf>
    <xf numFmtId="7" fontId="4" fillId="2" borderId="39" xfId="2" applyNumberFormat="1" applyFont="1" applyFill="1" applyBorder="1" applyAlignment="1" applyProtection="1">
      <alignment horizontal="right" vertical="center"/>
    </xf>
    <xf numFmtId="167" fontId="2" fillId="2" borderId="6" xfId="0" applyNumberFormat="1" applyFont="1" applyFill="1" applyBorder="1" applyProtection="1"/>
    <xf numFmtId="167" fontId="0" fillId="8" borderId="9" xfId="0" applyNumberFormat="1" applyFill="1" applyBorder="1" applyAlignment="1" applyProtection="1">
      <alignment horizontal="right"/>
    </xf>
    <xf numFmtId="167" fontId="0" fillId="2" borderId="9" xfId="0" applyNumberFormat="1" applyFill="1" applyBorder="1" applyAlignment="1" applyProtection="1">
      <alignment horizontal="right"/>
    </xf>
    <xf numFmtId="167" fontId="5" fillId="2" borderId="3" xfId="0" applyNumberFormat="1" applyFont="1" applyFill="1" applyBorder="1" applyAlignment="1" applyProtection="1">
      <alignment horizontal="right" vertical="center"/>
    </xf>
    <xf numFmtId="167" fontId="5" fillId="2" borderId="6" xfId="0" applyNumberFormat="1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1" fontId="0" fillId="2" borderId="9" xfId="0" applyNumberFormat="1" applyFill="1" applyBorder="1" applyAlignment="1" applyProtection="1">
      <alignment horizontal="right"/>
    </xf>
    <xf numFmtId="1" fontId="0" fillId="2" borderId="54" xfId="0" applyNumberFormat="1" applyFill="1" applyBorder="1" applyAlignment="1" applyProtection="1">
      <alignment horizontal="right"/>
    </xf>
    <xf numFmtId="1" fontId="0" fillId="2" borderId="3" xfId="0" applyNumberFormat="1" applyFill="1" applyBorder="1" applyProtection="1"/>
    <xf numFmtId="9" fontId="0" fillId="2" borderId="54" xfId="3" applyFont="1" applyFill="1" applyBorder="1" applyAlignment="1" applyProtection="1">
      <alignment horizontal="right"/>
    </xf>
    <xf numFmtId="167" fontId="0" fillId="2" borderId="6" xfId="0" applyNumberFormat="1" applyFill="1" applyBorder="1" applyProtection="1"/>
    <xf numFmtId="0" fontId="6" fillId="4" borderId="2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5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right"/>
    </xf>
    <xf numFmtId="0" fontId="16" fillId="4" borderId="8" xfId="0" applyFont="1" applyFill="1" applyBorder="1" applyAlignment="1" applyProtection="1">
      <alignment horizontal="right"/>
    </xf>
    <xf numFmtId="0" fontId="4" fillId="4" borderId="42" xfId="0" applyFont="1" applyFill="1" applyBorder="1" applyAlignment="1" applyProtection="1">
      <alignment horizontal="right" vertical="center"/>
    </xf>
    <xf numFmtId="0" fontId="4" fillId="4" borderId="43" xfId="0" applyFont="1" applyFill="1" applyBorder="1" applyAlignment="1" applyProtection="1">
      <alignment horizontal="right" vertical="center"/>
    </xf>
    <xf numFmtId="0" fontId="4" fillId="4" borderId="50" xfId="0" applyFont="1" applyFill="1" applyBorder="1" applyAlignment="1" applyProtection="1">
      <alignment horizontal="right"/>
    </xf>
    <xf numFmtId="0" fontId="4" fillId="4" borderId="51" xfId="0" applyFont="1" applyFill="1" applyBorder="1" applyAlignment="1" applyProtection="1">
      <alignment horizontal="right"/>
    </xf>
    <xf numFmtId="0" fontId="5" fillId="4" borderId="50" xfId="0" applyFont="1" applyFill="1" applyBorder="1" applyAlignment="1" applyProtection="1">
      <alignment horizontal="right"/>
    </xf>
    <xf numFmtId="0" fontId="5" fillId="4" borderId="51" xfId="0" applyFont="1" applyFill="1" applyBorder="1" applyAlignment="1" applyProtection="1">
      <alignment horizontal="right"/>
    </xf>
    <xf numFmtId="0" fontId="5" fillId="4" borderId="42" xfId="0" applyFont="1" applyFill="1" applyBorder="1" applyAlignment="1" applyProtection="1">
      <alignment horizontal="right" vertical="center"/>
      <protection locked="0"/>
    </xf>
    <xf numFmtId="0" fontId="5" fillId="4" borderId="43" xfId="0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right"/>
      <protection locked="0"/>
    </xf>
    <xf numFmtId="0" fontId="5" fillId="4" borderId="18" xfId="0" applyFont="1" applyFill="1" applyBorder="1" applyAlignment="1" applyProtection="1">
      <alignment horizontal="right"/>
      <protection locked="0"/>
    </xf>
    <xf numFmtId="0" fontId="5" fillId="4" borderId="11" xfId="0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5" fillId="4" borderId="37" xfId="0" applyFont="1" applyFill="1" applyBorder="1" applyAlignment="1" applyProtection="1">
      <alignment horizontal="right" vertical="center"/>
      <protection locked="0"/>
    </xf>
    <xf numFmtId="0" fontId="5" fillId="4" borderId="38" xfId="0" applyFont="1" applyFill="1" applyBorder="1" applyAlignment="1" applyProtection="1">
      <alignment horizontal="right" vertical="center"/>
      <protection locked="0"/>
    </xf>
    <xf numFmtId="0" fontId="6" fillId="4" borderId="57" xfId="0" applyFont="1" applyFill="1" applyBorder="1" applyAlignment="1" applyProtection="1">
      <alignment horizontal="center"/>
      <protection locked="0"/>
    </xf>
    <xf numFmtId="0" fontId="6" fillId="4" borderId="58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5" fillId="4" borderId="10" xfId="0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 applyProtection="1">
      <alignment horizontal="right" vertical="center"/>
      <protection locked="0"/>
    </xf>
    <xf numFmtId="0" fontId="2" fillId="4" borderId="13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right"/>
    </xf>
    <xf numFmtId="0" fontId="0" fillId="4" borderId="52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2" xfId="0" applyFill="1" applyBorder="1" applyAlignment="1" applyProtection="1">
      <alignment horizontal="right"/>
    </xf>
    <xf numFmtId="0" fontId="0" fillId="4" borderId="53" xfId="0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0" fillId="4" borderId="14" xfId="0" applyFill="1" applyBorder="1" applyAlignment="1" applyProtection="1">
      <alignment horizontal="right"/>
    </xf>
    <xf numFmtId="0" fontId="0" fillId="4" borderId="37" xfId="0" applyFill="1" applyBorder="1" applyAlignment="1" applyProtection="1">
      <alignment horizontal="right"/>
    </xf>
    <xf numFmtId="0" fontId="0" fillId="4" borderId="38" xfId="0" applyFill="1" applyBorder="1" applyAlignment="1" applyProtection="1">
      <alignment horizontal="right"/>
    </xf>
    <xf numFmtId="0" fontId="0" fillId="4" borderId="11" xfId="0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right"/>
    </xf>
    <xf numFmtId="0" fontId="0" fillId="2" borderId="0" xfId="0" applyFill="1" applyAlignment="1">
      <alignment horizontal="left" vertical="center"/>
    </xf>
    <xf numFmtId="0" fontId="0" fillId="4" borderId="11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left"/>
    </xf>
    <xf numFmtId="0" fontId="0" fillId="2" borderId="55" xfId="0" applyFill="1" applyBorder="1" applyAlignment="1" applyProtection="1">
      <alignment horizontal="left"/>
    </xf>
    <xf numFmtId="0" fontId="0" fillId="2" borderId="56" xfId="0" applyFill="1" applyBorder="1" applyAlignment="1" applyProtection="1">
      <alignment horizontal="left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4" borderId="18" xfId="0" applyFont="1" applyFill="1" applyBorder="1" applyAlignment="1" applyProtection="1">
      <alignment horizontal="right"/>
      <protection locked="0"/>
    </xf>
    <xf numFmtId="0" fontId="11" fillId="4" borderId="11" xfId="0" applyFont="1" applyFill="1" applyBorder="1" applyAlignment="1" applyProtection="1">
      <alignment horizontal="right"/>
      <protection locked="0"/>
    </xf>
    <xf numFmtId="0" fontId="11" fillId="4" borderId="7" xfId="0" applyFont="1" applyFill="1" applyBorder="1" applyAlignment="1" applyProtection="1">
      <alignment horizontal="right"/>
      <protection locked="0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top"/>
    </xf>
    <xf numFmtId="0" fontId="11" fillId="2" borderId="18" xfId="0" applyFont="1" applyFill="1" applyBorder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left" vertical="top"/>
    </xf>
    <xf numFmtId="0" fontId="5" fillId="4" borderId="5" xfId="0" applyFont="1" applyFill="1" applyBorder="1" applyAlignment="1" applyProtection="1">
      <alignment horizontal="right"/>
    </xf>
    <xf numFmtId="0" fontId="5" fillId="4" borderId="12" xfId="0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 vertical="top"/>
    </xf>
    <xf numFmtId="0" fontId="0" fillId="2" borderId="18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5" fillId="4" borderId="42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</xf>
    <xf numFmtId="0" fontId="5" fillId="4" borderId="50" xfId="0" applyFont="1" applyFill="1" applyBorder="1" applyAlignment="1" applyProtection="1">
      <alignment horizontal="center"/>
    </xf>
    <xf numFmtId="0" fontId="5" fillId="4" borderId="51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4" borderId="14" xfId="0" applyFont="1" applyFill="1" applyBorder="1" applyAlignment="1" applyProtection="1">
      <alignment horizont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right"/>
    </xf>
    <xf numFmtId="0" fontId="11" fillId="4" borderId="22" xfId="0" applyFont="1" applyFill="1" applyBorder="1" applyAlignment="1" applyProtection="1">
      <alignment horizontal="right"/>
    </xf>
    <xf numFmtId="0" fontId="0" fillId="4" borderId="10" xfId="0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right"/>
    </xf>
    <xf numFmtId="0" fontId="0" fillId="4" borderId="59" xfId="0" applyFill="1" applyBorder="1" applyAlignment="1" applyProtection="1">
      <alignment horizontal="right"/>
    </xf>
    <xf numFmtId="0" fontId="0" fillId="4" borderId="60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 vertical="top" wrapText="1"/>
    </xf>
    <xf numFmtId="0" fontId="0" fillId="2" borderId="18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6" fillId="5" borderId="15" xfId="0" applyFont="1" applyFill="1" applyBorder="1" applyAlignment="1" applyProtection="1">
      <alignment horizontal="center"/>
      <protection locked="0"/>
    </xf>
    <xf numFmtId="0" fontId="6" fillId="5" borderId="25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right"/>
      <protection locked="0"/>
    </xf>
    <xf numFmtId="0" fontId="16" fillId="4" borderId="8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right" vertical="center"/>
      <protection locked="0"/>
    </xf>
    <xf numFmtId="0" fontId="5" fillId="4" borderId="25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right"/>
      <protection locked="0"/>
    </xf>
    <xf numFmtId="0" fontId="11" fillId="4" borderId="23" xfId="0" applyFont="1" applyFill="1" applyBorder="1" applyAlignment="1" applyProtection="1">
      <alignment horizontal="right"/>
      <protection locked="0"/>
    </xf>
    <xf numFmtId="0" fontId="11" fillId="4" borderId="22" xfId="0" applyFont="1" applyFill="1" applyBorder="1" applyAlignment="1" applyProtection="1">
      <alignment horizontal="right"/>
      <protection locked="0"/>
    </xf>
    <xf numFmtId="0" fontId="5" fillId="5" borderId="13" xfId="0" applyFont="1" applyFill="1" applyBorder="1" applyAlignment="1" applyProtection="1">
      <alignment horizontal="right"/>
      <protection locked="0"/>
    </xf>
    <xf numFmtId="0" fontId="5" fillId="5" borderId="46" xfId="0" applyFont="1" applyFill="1" applyBorder="1" applyAlignment="1" applyProtection="1">
      <alignment horizontal="right"/>
      <protection locked="0"/>
    </xf>
    <xf numFmtId="0" fontId="5" fillId="5" borderId="31" xfId="0" applyFont="1" applyFill="1" applyBorder="1" applyAlignment="1" applyProtection="1">
      <alignment horizontal="left" vertical="top"/>
      <protection locked="0"/>
    </xf>
    <xf numFmtId="0" fontId="6" fillId="5" borderId="15" xfId="0" applyFont="1" applyFill="1" applyBorder="1" applyAlignment="1" applyProtection="1">
      <alignment horizontal="right"/>
      <protection locked="0"/>
    </xf>
    <xf numFmtId="0" fontId="6" fillId="5" borderId="25" xfId="0" applyFont="1" applyFill="1" applyBorder="1" applyAlignment="1" applyProtection="1">
      <alignment horizontal="right"/>
      <protection locked="0"/>
    </xf>
    <xf numFmtId="0" fontId="5" fillId="4" borderId="13" xfId="0" applyFont="1" applyFill="1" applyBorder="1" applyAlignment="1" applyProtection="1">
      <alignment horizontal="righ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37" xfId="0" applyFont="1" applyFill="1" applyBorder="1" applyAlignment="1" applyProtection="1">
      <alignment horizontal="right"/>
      <protection locked="0"/>
    </xf>
    <xf numFmtId="0" fontId="5" fillId="4" borderId="38" xfId="0" applyFont="1" applyFill="1" applyBorder="1" applyAlignment="1" applyProtection="1">
      <alignment horizontal="right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right" vertical="center"/>
      <protection locked="0"/>
    </xf>
    <xf numFmtId="0" fontId="5" fillId="4" borderId="22" xfId="0" applyFont="1" applyFill="1" applyBorder="1" applyAlignment="1" applyProtection="1">
      <alignment horizontal="right" vertical="center"/>
      <protection locked="0"/>
    </xf>
    <xf numFmtId="0" fontId="5" fillId="4" borderId="13" xfId="0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 applyProtection="1">
      <alignment horizontal="right"/>
      <protection locked="0"/>
    </xf>
    <xf numFmtId="0" fontId="5" fillId="4" borderId="11" xfId="0" applyFont="1" applyFill="1" applyBorder="1" applyAlignment="1" applyProtection="1">
      <alignment horizontal="right"/>
      <protection locked="0"/>
    </xf>
    <xf numFmtId="0" fontId="5" fillId="4" borderId="7" xfId="0" applyFont="1" applyFill="1" applyBorder="1" applyAlignment="1" applyProtection="1">
      <alignment horizontal="right"/>
      <protection locked="0"/>
    </xf>
    <xf numFmtId="0" fontId="11" fillId="5" borderId="11" xfId="0" applyFont="1" applyFill="1" applyBorder="1" applyAlignment="1" applyProtection="1">
      <alignment horizontal="right"/>
      <protection locked="0"/>
    </xf>
    <xf numFmtId="0" fontId="11" fillId="5" borderId="7" xfId="0" applyFont="1" applyFill="1" applyBorder="1" applyAlignment="1" applyProtection="1">
      <alignment horizontal="right"/>
      <protection locked="0"/>
    </xf>
    <xf numFmtId="0" fontId="5" fillId="5" borderId="11" xfId="0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 applyProtection="1">
      <alignment horizontal="right" vertical="center"/>
      <protection locked="0"/>
    </xf>
    <xf numFmtId="0" fontId="5" fillId="4" borderId="35" xfId="0" applyFont="1" applyFill="1" applyBorder="1" applyAlignment="1" applyProtection="1">
      <alignment horizontal="right" vertical="center"/>
      <protection locked="0"/>
    </xf>
    <xf numFmtId="0" fontId="5" fillId="4" borderId="19" xfId="0" applyFont="1" applyFill="1" applyBorder="1" applyAlignment="1" applyProtection="1">
      <alignment horizontal="right" vertical="center"/>
      <protection locked="0"/>
    </xf>
    <xf numFmtId="0" fontId="5" fillId="5" borderId="10" xfId="0" applyFont="1" applyFill="1" applyBorder="1" applyAlignment="1" applyProtection="1">
      <alignment horizontal="right" vertical="center"/>
      <protection locked="0"/>
    </xf>
    <xf numFmtId="0" fontId="5" fillId="5" borderId="8" xfId="0" applyFont="1" applyFill="1" applyBorder="1" applyAlignment="1" applyProtection="1">
      <alignment horizontal="right" vertical="center"/>
      <protection locked="0"/>
    </xf>
    <xf numFmtId="0" fontId="0" fillId="5" borderId="11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alignment horizontal="right"/>
      <protection locked="0"/>
    </xf>
    <xf numFmtId="0" fontId="5" fillId="5" borderId="42" xfId="0" applyFont="1" applyFill="1" applyBorder="1" applyAlignment="1" applyProtection="1">
      <alignment horizontal="right"/>
      <protection locked="0"/>
    </xf>
    <xf numFmtId="0" fontId="5" fillId="5" borderId="43" xfId="0" applyFont="1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right"/>
      <protection locked="0"/>
    </xf>
    <xf numFmtId="0" fontId="11" fillId="4" borderId="33" xfId="0" applyFont="1" applyFill="1" applyBorder="1" applyAlignment="1" applyProtection="1">
      <alignment horizontal="right"/>
      <protection locked="0"/>
    </xf>
    <xf numFmtId="0" fontId="11" fillId="4" borderId="48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6" fillId="2" borderId="19" xfId="0" applyFont="1" applyFill="1" applyBorder="1" applyAlignment="1" applyProtection="1">
      <alignment horizontal="right" vertical="center"/>
      <protection locked="0"/>
    </xf>
    <xf numFmtId="0" fontId="6" fillId="2" borderId="16" xfId="0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 applyProtection="1">
      <alignment horizontal="right"/>
      <protection locked="0"/>
    </xf>
    <xf numFmtId="0" fontId="5" fillId="2" borderId="14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5" fillId="2" borderId="25" xfId="0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horizontal="right"/>
      <protection locked="0"/>
    </xf>
    <xf numFmtId="0" fontId="6" fillId="2" borderId="2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0" fontId="3" fillId="2" borderId="25" xfId="0" applyFont="1" applyFill="1" applyBorder="1" applyAlignment="1" applyProtection="1">
      <alignment horizontal="right"/>
      <protection locked="0"/>
    </xf>
    <xf numFmtId="0" fontId="5" fillId="2" borderId="11" xfId="0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5" fillId="5" borderId="4" xfId="0" applyFont="1" applyFill="1" applyBorder="1" applyAlignment="1" applyProtection="1">
      <alignment horizontal="right" vertical="center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right"/>
      <protection locked="0"/>
    </xf>
    <xf numFmtId="0" fontId="3" fillId="2" borderId="34" xfId="0" applyFont="1" applyFill="1" applyBorder="1" applyAlignment="1" applyProtection="1">
      <alignment horizontal="right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0" fontId="5" fillId="2" borderId="22" xfId="0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right"/>
      <protection locked="0"/>
    </xf>
    <xf numFmtId="0" fontId="11" fillId="2" borderId="18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2" fillId="2" borderId="15" xfId="0" applyFont="1" applyFill="1" applyBorder="1" applyAlignment="1" applyProtection="1">
      <alignment horizontal="right" vertical="center"/>
      <protection locked="0" hidden="1"/>
    </xf>
    <xf numFmtId="0" fontId="12" fillId="2" borderId="19" xfId="0" applyFont="1" applyFill="1" applyBorder="1" applyAlignment="1" applyProtection="1">
      <alignment horizontal="right" vertical="center"/>
      <protection locked="0" hidden="1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4" fillId="2" borderId="16" xfId="0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5" fillId="2" borderId="27" xfId="0" applyFont="1" applyFill="1" applyBorder="1" applyAlignment="1" applyProtection="1">
      <alignment horizontal="right" vertical="center"/>
      <protection locked="0"/>
    </xf>
    <xf numFmtId="0" fontId="5" fillId="2" borderId="45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6" fillId="2" borderId="41" xfId="0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6" fillId="2" borderId="28" xfId="0" applyFont="1" applyFill="1" applyBorder="1" applyAlignment="1" applyProtection="1">
      <alignment horizontal="right"/>
      <protection locked="0"/>
    </xf>
    <xf numFmtId="0" fontId="6" fillId="2" borderId="29" xfId="0" applyFont="1" applyFill="1" applyBorder="1" applyAlignment="1" applyProtection="1">
      <alignment horizontal="right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4CF5F"/>
      <color rgb="FF0E0048"/>
      <color rgb="FF9AEE12"/>
      <color rgb="FF93BE5A"/>
      <color rgb="FF0C66B8"/>
      <color rgb="FF95B365"/>
      <color rgb="FF0B5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42334</xdr:colOff>
      <xdr:row>0</xdr:row>
      <xdr:rowOff>84667</xdr:rowOff>
    </xdr:from>
    <xdr:to>
      <xdr:col>4</xdr:col>
      <xdr:colOff>381569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4A122F-8122-4DA8-AADF-B4ABD345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84667"/>
          <a:ext cx="2830286" cy="41275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ob" id="{FA183EA0-3B26-4A12-BE7B-E85214C2E370}" userId="S::JacobA@digitalondemand.com::9218d37c-2229-4b6b-b3a2-a2e58008b6e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1-10-19T19:27:35.49" personId="{FA183EA0-3B26-4A12-BE7B-E85214C2E370}" id="{2438251C-970A-408A-A03C-88659134B396}">
    <text>Can make an assumption, based on usage at DOD, it is about 3 /100 artworks</text>
  </threadedComment>
  <threadedComment ref="D8" dT="2021-10-19T16:19:12.38" personId="{FA183EA0-3B26-4A12-BE7B-E85214C2E370}" id="{96D6A586-D901-451F-A279-A1A893BD5F0C}">
    <text>Will there be payment terms depending on the type of license, or is it lump sum?</text>
  </threadedComment>
  <threadedComment ref="B12" dT="2021-10-19T19:34:34.25" personId="{FA183EA0-3B26-4A12-BE7B-E85214C2E370}" id="{52061E40-0D32-4185-AB73-3095A3F2BA37}">
    <text>Hourly Relevant? Salary?</text>
  </threadedComment>
  <threadedComment ref="I15" dT="2021-10-19T19:18:17.29" personId="{FA183EA0-3B26-4A12-BE7B-E85214C2E370}" id="{FBCD3E21-B1CF-4FA7-AAF4-C942F730E226}">
    <text>Blank if automatic</text>
  </threadedComment>
  <threadedComment ref="I21" dT="2021-10-19T19:25:38.05" personId="{FA183EA0-3B26-4A12-BE7B-E85214C2E370}" id="{EF0287F0-FE16-4012-B77F-ED225F509495}">
    <text>Not sure if we want to factor this in - hard to quantify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" dT="2021-10-19T13:54:20.34" personId="{FA183EA0-3B26-4A12-BE7B-E85214C2E370}" id="{61B24FEB-48C5-49EC-86DF-6FFB7EE361C0}">
    <text>Where should we put the X360, because it is a TIFF product? Just include that in the notes section below?</text>
  </threadedComment>
  <threadedComment ref="C8" dT="2021-10-19T13:53:09.67" personId="{FA183EA0-3B26-4A12-BE7B-E85214C2E370}" id="{630BD5C7-34A6-4F89-83EB-6BE839090E85}">
    <text>What different modes are there for each machine and the relative "Imaging Time"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2ECC-80AD-4C9B-9E0B-C27E431BDA01}">
  <dimension ref="B3:L20"/>
  <sheetViews>
    <sheetView workbookViewId="0">
      <selection activeCell="D6" sqref="D6"/>
    </sheetView>
  </sheetViews>
  <sheetFormatPr baseColWidth="10" defaultColWidth="9.1640625" defaultRowHeight="15" x14ac:dyDescent="0.2"/>
  <cols>
    <col min="1" max="2" width="9.1640625" style="90"/>
    <col min="3" max="3" width="16.5" style="90" customWidth="1"/>
    <col min="4" max="4" width="16.83203125" style="90" bestFit="1" customWidth="1"/>
    <col min="5" max="5" width="9.1640625" style="90" customWidth="1"/>
    <col min="6" max="6" width="9.1640625" style="90" hidden="1" customWidth="1"/>
    <col min="7" max="7" width="14.1640625" style="90" hidden="1" customWidth="1"/>
    <col min="8" max="8" width="38" style="90" hidden="1" customWidth="1"/>
    <col min="9" max="10" width="9.1640625" style="90"/>
    <col min="11" max="11" width="14.5" style="90" customWidth="1"/>
    <col min="12" max="12" width="18.6640625" style="90" bestFit="1" customWidth="1"/>
    <col min="13" max="14" width="9.1640625" style="90"/>
    <col min="15" max="15" width="15.6640625" style="90" customWidth="1"/>
    <col min="16" max="16" width="12.1640625" style="90" customWidth="1"/>
    <col min="17" max="16384" width="9.1640625" style="90"/>
  </cols>
  <sheetData>
    <row r="3" spans="2:12" ht="22" x14ac:dyDescent="0.3">
      <c r="B3" s="17" t="s">
        <v>161</v>
      </c>
    </row>
    <row r="4" spans="2:12" ht="16" thickBot="1" x14ac:dyDescent="0.25"/>
    <row r="5" spans="2:12" ht="17" thickBot="1" x14ac:dyDescent="0.25">
      <c r="B5" s="216" t="s">
        <v>154</v>
      </c>
      <c r="C5" s="217"/>
      <c r="D5" s="218"/>
      <c r="F5" s="213" t="s">
        <v>26</v>
      </c>
      <c r="G5" s="214"/>
      <c r="H5" s="215"/>
      <c r="J5" s="194" t="s">
        <v>146</v>
      </c>
      <c r="K5" s="195"/>
      <c r="L5" s="196"/>
    </row>
    <row r="6" spans="2:12" ht="16" x14ac:dyDescent="0.2">
      <c r="B6" s="219" t="s">
        <v>74</v>
      </c>
      <c r="C6" s="220"/>
      <c r="D6" s="165" t="s">
        <v>183</v>
      </c>
      <c r="F6" s="205" t="s">
        <v>54</v>
      </c>
      <c r="G6" s="206"/>
      <c r="H6" s="163">
        <v>300</v>
      </c>
      <c r="J6" s="197" t="s">
        <v>144</v>
      </c>
      <c r="K6" s="198"/>
      <c r="L6" s="179" t="str">
        <f>D6</f>
        <v>ArtPrep PRO</v>
      </c>
    </row>
    <row r="7" spans="2:12" x14ac:dyDescent="0.2">
      <c r="B7" s="97"/>
      <c r="C7" s="98" t="s">
        <v>84</v>
      </c>
      <c r="D7" s="165">
        <v>0</v>
      </c>
      <c r="F7" s="207" t="s">
        <v>55</v>
      </c>
      <c r="G7" s="208"/>
      <c r="H7" s="164">
        <f>H6*8</f>
        <v>2400</v>
      </c>
      <c r="J7" s="199" t="s">
        <v>152</v>
      </c>
      <c r="K7" s="200"/>
      <c r="L7" s="180">
        <f>D8/(D11*365)</f>
        <v>0.17534246575342466</v>
      </c>
    </row>
    <row r="8" spans="2:12" ht="16" thickBot="1" x14ac:dyDescent="0.25">
      <c r="B8" s="230" t="s">
        <v>83</v>
      </c>
      <c r="C8" s="231"/>
      <c r="D8" s="183">
        <f>(IF(D6="ArtPrep",( 12000), (32000)))+IF(D6="ArtPrep", (3500), (10500))*D7</f>
        <v>32000</v>
      </c>
      <c r="F8" s="209" t="s">
        <v>56</v>
      </c>
      <c r="G8" s="210"/>
      <c r="H8" s="164">
        <f>H7*5</f>
        <v>12000</v>
      </c>
      <c r="J8" s="201" t="s">
        <v>159</v>
      </c>
      <c r="K8" s="202"/>
      <c r="L8" s="181">
        <f>D12</f>
        <v>0.5</v>
      </c>
    </row>
    <row r="9" spans="2:12" ht="16" thickBot="1" x14ac:dyDescent="0.25">
      <c r="F9" s="209" t="s">
        <v>57</v>
      </c>
      <c r="G9" s="210"/>
      <c r="H9" s="164">
        <f>H8*4</f>
        <v>48000</v>
      </c>
      <c r="J9" s="223" t="s">
        <v>162</v>
      </c>
      <c r="K9" s="224"/>
      <c r="L9" s="182">
        <f>D16-D8</f>
        <v>28000</v>
      </c>
    </row>
    <row r="10" spans="2:12" ht="17" thickBot="1" x14ac:dyDescent="0.25">
      <c r="B10" s="216" t="s">
        <v>153</v>
      </c>
      <c r="C10" s="217"/>
      <c r="D10" s="218"/>
      <c r="F10" s="211" t="s">
        <v>58</v>
      </c>
      <c r="G10" s="212"/>
      <c r="H10" s="166">
        <f>H9*12</f>
        <v>576000</v>
      </c>
    </row>
    <row r="11" spans="2:12" x14ac:dyDescent="0.2">
      <c r="B11" s="221" t="s">
        <v>149</v>
      </c>
      <c r="C11" s="222"/>
      <c r="D11" s="161">
        <v>500</v>
      </c>
      <c r="F11" s="207" t="s">
        <v>160</v>
      </c>
      <c r="G11" s="208"/>
      <c r="H11" s="167">
        <v>10</v>
      </c>
    </row>
    <row r="12" spans="2:12" ht="16" thickBot="1" x14ac:dyDescent="0.25">
      <c r="B12" s="209" t="s">
        <v>150</v>
      </c>
      <c r="C12" s="210"/>
      <c r="D12" s="162">
        <v>0.5</v>
      </c>
      <c r="F12" s="225" t="s">
        <v>151</v>
      </c>
      <c r="G12" s="226"/>
      <c r="H12" s="227"/>
    </row>
    <row r="13" spans="2:12" x14ac:dyDescent="0.2">
      <c r="B13" s="203" t="s">
        <v>155</v>
      </c>
      <c r="C13" s="204"/>
      <c r="D13" s="175">
        <f>D11*D12</f>
        <v>250</v>
      </c>
    </row>
    <row r="14" spans="2:12" x14ac:dyDescent="0.2">
      <c r="B14" s="232" t="s">
        <v>157</v>
      </c>
      <c r="C14" s="233"/>
      <c r="D14" s="176">
        <f>D13*5</f>
        <v>1250</v>
      </c>
    </row>
    <row r="15" spans="2:12" x14ac:dyDescent="0.2">
      <c r="B15" s="234" t="s">
        <v>156</v>
      </c>
      <c r="C15" s="235"/>
      <c r="D15" s="177">
        <f>D14*4</f>
        <v>5000</v>
      </c>
    </row>
    <row r="16" spans="2:12" ht="16" thickBot="1" x14ac:dyDescent="0.25">
      <c r="B16" s="228" t="s">
        <v>158</v>
      </c>
      <c r="C16" s="229"/>
      <c r="D16" s="178">
        <f>D15*12</f>
        <v>60000</v>
      </c>
    </row>
    <row r="19" spans="2:3" x14ac:dyDescent="0.2">
      <c r="B19" s="111"/>
      <c r="C19" s="15" t="s">
        <v>0</v>
      </c>
    </row>
    <row r="20" spans="2:3" x14ac:dyDescent="0.2">
      <c r="B20" s="71"/>
      <c r="C20" s="15" t="s">
        <v>1</v>
      </c>
    </row>
  </sheetData>
  <sheetProtection algorithmName="SHA-512" hashValue="ojJ2c/fHg9geD/5DqaPpSZFdrRSp4kQYozeqP5IRibw2sfBySszzIYn06LEbi/S11Sec/sTvckE5EyNxFR/W7g==" saltValue="h3rayVNCgtqKXG5w/B2HVA==" spinCount="100000" sheet="1" objects="1" scenarios="1" selectLockedCells="1"/>
  <mergeCells count="23">
    <mergeCell ref="J9:K9"/>
    <mergeCell ref="F12:H12"/>
    <mergeCell ref="B16:C16"/>
    <mergeCell ref="B8:C8"/>
    <mergeCell ref="F11:G11"/>
    <mergeCell ref="B14:C14"/>
    <mergeCell ref="B15:C15"/>
    <mergeCell ref="J5:L5"/>
    <mergeCell ref="J6:K6"/>
    <mergeCell ref="J7:K7"/>
    <mergeCell ref="J8:K8"/>
    <mergeCell ref="B13:C13"/>
    <mergeCell ref="F6:G6"/>
    <mergeCell ref="F7:G7"/>
    <mergeCell ref="F8:G8"/>
    <mergeCell ref="F9:G9"/>
    <mergeCell ref="F10:G10"/>
    <mergeCell ref="F5:H5"/>
    <mergeCell ref="B5:D5"/>
    <mergeCell ref="B6:C6"/>
    <mergeCell ref="B10:D10"/>
    <mergeCell ref="B11:C11"/>
    <mergeCell ref="B12:C12"/>
  </mergeCells>
  <dataValidations count="2">
    <dataValidation type="list" allowBlank="1" showInputMessage="1" showErrorMessage="1" sqref="D7" xr:uid="{53B2F523-7291-475F-B0D8-0B85BEE6F6DC}">
      <formula1>"0, 1, 2, 3, 4, 5, 6, 7, 8"</formula1>
    </dataValidation>
    <dataValidation type="list" allowBlank="1" showInputMessage="1" showErrorMessage="1" sqref="D6" xr:uid="{9AA1AC99-8578-42C8-84F1-AB057D1258F6}">
      <formula1>"ArtPrep, ArtPrep PRO"</formula1>
    </dataValidation>
  </dataValidations>
  <pageMargins left="0.7" right="0.7" top="0.75" bottom="0.75" header="0.3" footer="0.3"/>
  <pageSetup paperSize="198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6120-A9CF-45DE-9BAC-2432F47DD518}">
  <dimension ref="B3:L36"/>
  <sheetViews>
    <sheetView tabSelected="1" workbookViewId="0">
      <selection activeCell="C7" sqref="C7"/>
    </sheetView>
  </sheetViews>
  <sheetFormatPr baseColWidth="10" defaultColWidth="9.1640625" defaultRowHeight="15" x14ac:dyDescent="0.2"/>
  <cols>
    <col min="1" max="2" width="9.1640625" style="90"/>
    <col min="3" max="3" width="16.5" style="90" customWidth="1"/>
    <col min="4" max="4" width="20.6640625" style="90" customWidth="1"/>
    <col min="5" max="6" width="9.1640625" style="90"/>
    <col min="7" max="7" width="25" style="90" customWidth="1"/>
    <col min="8" max="8" width="18.6640625" style="90" bestFit="1" customWidth="1"/>
    <col min="9" max="9" width="7.5" style="90" customWidth="1"/>
    <col min="10" max="10" width="9.1640625" style="90"/>
    <col min="11" max="11" width="17" style="90" customWidth="1"/>
    <col min="12" max="12" width="17.6640625" style="90" customWidth="1"/>
    <col min="13" max="14" width="9.1640625" style="90"/>
    <col min="15" max="15" width="15.6640625" style="90" customWidth="1"/>
    <col min="16" max="16" width="18.6640625" style="90" bestFit="1" customWidth="1"/>
    <col min="17" max="16384" width="9.1640625" style="90"/>
  </cols>
  <sheetData>
    <row r="3" spans="2:12" ht="22" x14ac:dyDescent="0.3">
      <c r="B3" s="17" t="s">
        <v>161</v>
      </c>
    </row>
    <row r="4" spans="2:12" ht="16" thickBot="1" x14ac:dyDescent="0.25"/>
    <row r="5" spans="2:12" ht="17" thickBot="1" x14ac:dyDescent="0.25">
      <c r="B5" s="216" t="s">
        <v>154</v>
      </c>
      <c r="C5" s="217"/>
      <c r="D5" s="218"/>
      <c r="F5" s="270" t="s">
        <v>179</v>
      </c>
      <c r="G5" s="271"/>
      <c r="H5" s="272"/>
      <c r="J5" s="194" t="s">
        <v>181</v>
      </c>
      <c r="K5" s="195"/>
      <c r="L5" s="196"/>
    </row>
    <row r="6" spans="2:12" ht="16" x14ac:dyDescent="0.2">
      <c r="B6" s="219" t="s">
        <v>74</v>
      </c>
      <c r="C6" s="220"/>
      <c r="D6" s="165" t="s">
        <v>145</v>
      </c>
      <c r="F6" s="273" t="s">
        <v>77</v>
      </c>
      <c r="G6" s="274"/>
      <c r="H6" s="187">
        <f>D11</f>
        <v>100</v>
      </c>
      <c r="J6" s="268" t="s">
        <v>144</v>
      </c>
      <c r="K6" s="269"/>
      <c r="L6" s="193" t="str">
        <f>D6</f>
        <v>ArtPrep</v>
      </c>
    </row>
    <row r="7" spans="2:12" ht="16" x14ac:dyDescent="0.2">
      <c r="B7" s="97"/>
      <c r="C7" s="98" t="s">
        <v>84</v>
      </c>
      <c r="D7" s="165">
        <v>0</v>
      </c>
      <c r="F7" s="247" t="s">
        <v>173</v>
      </c>
      <c r="G7" s="248"/>
      <c r="H7" s="112">
        <v>2</v>
      </c>
      <c r="J7" s="262" t="s">
        <v>152</v>
      </c>
      <c r="K7" s="263"/>
      <c r="L7" s="180">
        <f>D8/(D11*365)</f>
        <v>0.32876712328767121</v>
      </c>
    </row>
    <row r="8" spans="2:12" ht="16" thickBot="1" x14ac:dyDescent="0.25">
      <c r="B8" s="230" t="s">
        <v>83</v>
      </c>
      <c r="C8" s="231"/>
      <c r="D8" s="184">
        <f>(IF(D6="ArtPrep",( 12000), (32000)))+IF(D6="ArtPrep", (3500), (10500))*D7</f>
        <v>12000</v>
      </c>
      <c r="F8" s="228" t="s">
        <v>175</v>
      </c>
      <c r="G8" s="229"/>
      <c r="H8" s="188">
        <f>((H6*H7)/D13)/60</f>
        <v>3.3333333333333335</v>
      </c>
      <c r="J8" s="264" t="s">
        <v>159</v>
      </c>
      <c r="K8" s="265"/>
      <c r="L8" s="181">
        <f>D14</f>
        <v>1.9178082191780823</v>
      </c>
    </row>
    <row r="9" spans="2:12" ht="16" thickBot="1" x14ac:dyDescent="0.25">
      <c r="J9" s="266" t="s">
        <v>162</v>
      </c>
      <c r="K9" s="267"/>
      <c r="L9" s="182">
        <f>(D12*D13)-D8</f>
        <v>58000</v>
      </c>
    </row>
    <row r="10" spans="2:12" ht="19.5" customHeight="1" thickBot="1" x14ac:dyDescent="0.25">
      <c r="B10" s="242" t="s">
        <v>153</v>
      </c>
      <c r="C10" s="243"/>
      <c r="D10" s="244"/>
      <c r="F10" s="216" t="s">
        <v>182</v>
      </c>
      <c r="G10" s="217"/>
      <c r="H10" s="218"/>
    </row>
    <row r="11" spans="2:12" ht="15.75" customHeight="1" x14ac:dyDescent="0.2">
      <c r="B11" s="205" t="s">
        <v>164</v>
      </c>
      <c r="C11" s="206"/>
      <c r="D11" s="161">
        <v>100</v>
      </c>
      <c r="F11" s="275" t="s">
        <v>176</v>
      </c>
      <c r="G11" s="276"/>
      <c r="H11" s="189">
        <f>(((H6*H7)/D13)/60)*0.85</f>
        <v>2.8333333333333335</v>
      </c>
    </row>
    <row r="12" spans="2:12" ht="16" x14ac:dyDescent="0.2">
      <c r="B12" s="249" t="s">
        <v>163</v>
      </c>
      <c r="C12" s="250"/>
      <c r="D12" s="168">
        <v>70000</v>
      </c>
      <c r="F12" s="237" t="s">
        <v>177</v>
      </c>
      <c r="G12" s="238"/>
      <c r="H12" s="190">
        <f>H11*365</f>
        <v>1034.1666666666667</v>
      </c>
    </row>
    <row r="13" spans="2:12" ht="16" x14ac:dyDescent="0.2">
      <c r="B13" s="247" t="s">
        <v>76</v>
      </c>
      <c r="C13" s="248"/>
      <c r="D13" s="169">
        <v>1</v>
      </c>
      <c r="F13" s="277" t="s">
        <v>178</v>
      </c>
      <c r="G13" s="278"/>
      <c r="H13" s="191">
        <f>(H12/2040)</f>
        <v>0.50694444444444453</v>
      </c>
    </row>
    <row r="14" spans="2:12" ht="16" thickBot="1" x14ac:dyDescent="0.25">
      <c r="B14" s="245" t="s">
        <v>98</v>
      </c>
      <c r="C14" s="246"/>
      <c r="D14" s="185">
        <f>((D12*D13)/365)/D11</f>
        <v>1.9178082191780823</v>
      </c>
      <c r="F14" s="230" t="s">
        <v>174</v>
      </c>
      <c r="G14" s="231"/>
      <c r="H14" s="192">
        <f>H13*D12</f>
        <v>35486.111111111117</v>
      </c>
    </row>
    <row r="15" spans="2:12" ht="16" thickBot="1" x14ac:dyDescent="0.25">
      <c r="B15" s="257" t="s">
        <v>168</v>
      </c>
      <c r="C15" s="258"/>
      <c r="D15" s="186">
        <f>D11*D14</f>
        <v>191.78082191780823</v>
      </c>
    </row>
    <row r="16" spans="2:12" ht="16" thickBot="1" x14ac:dyDescent="0.25"/>
    <row r="17" spans="2:8" ht="15.75" customHeight="1" x14ac:dyDescent="0.2">
      <c r="B17" s="170"/>
      <c r="C17" s="172" t="s">
        <v>0</v>
      </c>
      <c r="D17" s="173"/>
      <c r="F17" s="251" t="s">
        <v>172</v>
      </c>
      <c r="G17" s="252"/>
      <c r="H17" s="253"/>
    </row>
    <row r="18" spans="2:8" ht="16" x14ac:dyDescent="0.2">
      <c r="B18" s="71"/>
      <c r="C18" s="172" t="s">
        <v>1</v>
      </c>
      <c r="D18" s="174"/>
      <c r="F18" s="254" t="s">
        <v>81</v>
      </c>
      <c r="G18" s="255"/>
      <c r="H18" s="256"/>
    </row>
    <row r="19" spans="2:8" x14ac:dyDescent="0.2">
      <c r="B19" s="171" t="s">
        <v>170</v>
      </c>
      <c r="C19" s="236" t="s">
        <v>171</v>
      </c>
      <c r="D19" s="236"/>
      <c r="F19" s="279" t="s">
        <v>80</v>
      </c>
      <c r="G19" s="280"/>
      <c r="H19" s="281"/>
    </row>
    <row r="20" spans="2:8" x14ac:dyDescent="0.2">
      <c r="F20" s="259" t="s">
        <v>169</v>
      </c>
      <c r="G20" s="260"/>
      <c r="H20" s="261"/>
    </row>
    <row r="21" spans="2:8" x14ac:dyDescent="0.2">
      <c r="F21" s="259" t="s">
        <v>165</v>
      </c>
      <c r="G21" s="260"/>
      <c r="H21" s="261"/>
    </row>
    <row r="22" spans="2:8" x14ac:dyDescent="0.2">
      <c r="F22" s="259" t="s">
        <v>166</v>
      </c>
      <c r="G22" s="260"/>
      <c r="H22" s="261"/>
    </row>
    <row r="23" spans="2:8" x14ac:dyDescent="0.2">
      <c r="F23" s="259" t="s">
        <v>167</v>
      </c>
      <c r="G23" s="260"/>
      <c r="H23" s="261"/>
    </row>
    <row r="24" spans="2:8" x14ac:dyDescent="0.2">
      <c r="F24" s="259" t="s">
        <v>184</v>
      </c>
      <c r="G24" s="260"/>
      <c r="H24" s="261"/>
    </row>
    <row r="25" spans="2:8" ht="15" customHeight="1" thickBot="1" x14ac:dyDescent="0.25">
      <c r="F25" s="239" t="s">
        <v>180</v>
      </c>
      <c r="G25" s="240"/>
      <c r="H25" s="241"/>
    </row>
    <row r="26" spans="2:8" ht="15" customHeight="1" x14ac:dyDescent="0.2">
      <c r="F26" s="92"/>
      <c r="G26" s="92"/>
      <c r="H26" s="92"/>
    </row>
    <row r="27" spans="2:8" x14ac:dyDescent="0.2">
      <c r="F27" s="92"/>
      <c r="G27" s="92"/>
      <c r="H27" s="92"/>
    </row>
    <row r="28" spans="2:8" s="92" customFormat="1" x14ac:dyDescent="0.2">
      <c r="F28" s="90"/>
      <c r="G28" s="90"/>
      <c r="H28" s="90"/>
    </row>
    <row r="29" spans="2:8" ht="33" customHeight="1" x14ac:dyDescent="0.2"/>
    <row r="30" spans="2:8" ht="15.7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sheetProtection algorithmName="SHA-512" hashValue="ychK1cBOsSW1OivO3p5TBgGs+7YU6uM+KOIZ4c2bU1ole0xwI6UfCmya7pM/kwMGfoqftqqgg+dknmLgb6Ha+Q==" saltValue="nc2aa8xZ4YRkdXvyzE7bFA==" spinCount="100000" sheet="1" objects="1" scenarios="1" selectLockedCells="1"/>
  <mergeCells count="33">
    <mergeCell ref="F24:H24"/>
    <mergeCell ref="F23:H23"/>
    <mergeCell ref="F7:G7"/>
    <mergeCell ref="F10:H10"/>
    <mergeCell ref="F11:G11"/>
    <mergeCell ref="F13:G13"/>
    <mergeCell ref="F19:H19"/>
    <mergeCell ref="J7:K7"/>
    <mergeCell ref="B8:C8"/>
    <mergeCell ref="J8:K8"/>
    <mergeCell ref="J9:K9"/>
    <mergeCell ref="B5:D5"/>
    <mergeCell ref="J5:L5"/>
    <mergeCell ref="B6:C6"/>
    <mergeCell ref="J6:K6"/>
    <mergeCell ref="F5:H5"/>
    <mergeCell ref="F6:G6"/>
    <mergeCell ref="C19:D19"/>
    <mergeCell ref="F14:G14"/>
    <mergeCell ref="F12:G12"/>
    <mergeCell ref="F8:G8"/>
    <mergeCell ref="F25:H25"/>
    <mergeCell ref="B10:D10"/>
    <mergeCell ref="B11:C11"/>
    <mergeCell ref="B14:C14"/>
    <mergeCell ref="B13:C13"/>
    <mergeCell ref="B12:C12"/>
    <mergeCell ref="F17:H17"/>
    <mergeCell ref="F18:H18"/>
    <mergeCell ref="B15:C15"/>
    <mergeCell ref="F20:H20"/>
    <mergeCell ref="F21:H21"/>
    <mergeCell ref="F22:H22"/>
  </mergeCells>
  <dataValidations count="3">
    <dataValidation type="list" allowBlank="1" showInputMessage="1" showErrorMessage="1" sqref="D6" xr:uid="{2A5B6A2B-4C85-4BA1-BBA8-CFA2E351A3BE}">
      <formula1>"ArtPrep, ArtPrep PRO"</formula1>
    </dataValidation>
    <dataValidation type="list" allowBlank="1" showInputMessage="1" showErrorMessage="1" sqref="D7" xr:uid="{EA216972-6E91-4729-B90E-9C636F5CF69B}">
      <formula1>"0, 1, 2, 3, 4, 5, 6, 7, 8"</formula1>
    </dataValidation>
    <dataValidation type="list" allowBlank="1" showInputMessage="1" showErrorMessage="1" sqref="D13" xr:uid="{C2B7F34A-C071-49BB-897C-97AB4193E21E}">
      <formula1>"1, 2, 3, 4, 5, 6"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16BA-2ADD-46E7-A845-92AA44D82D4F}">
  <sheetPr codeName="Sheet2"/>
  <dimension ref="B2:N72"/>
  <sheetViews>
    <sheetView workbookViewId="0">
      <selection activeCell="D32" sqref="D32"/>
    </sheetView>
  </sheetViews>
  <sheetFormatPr baseColWidth="10" defaultColWidth="9.1640625" defaultRowHeight="15" x14ac:dyDescent="0.2"/>
  <cols>
    <col min="1" max="1" width="9.1640625" style="90"/>
    <col min="2" max="2" width="7.83203125" style="15" customWidth="1"/>
    <col min="3" max="3" width="27.33203125" style="15" customWidth="1"/>
    <col min="4" max="4" width="18.33203125" style="15" customWidth="1"/>
    <col min="5" max="7" width="9.1640625" style="90"/>
    <col min="8" max="8" width="26.5" style="90" customWidth="1"/>
    <col min="9" max="9" width="18.6640625" style="90" customWidth="1"/>
    <col min="10" max="11" width="9.1640625" style="90"/>
    <col min="12" max="12" width="17.5" style="90" customWidth="1"/>
    <col min="13" max="16384" width="9.1640625" style="90"/>
  </cols>
  <sheetData>
    <row r="2" spans="2:14" ht="26" x14ac:dyDescent="0.4">
      <c r="B2" s="17" t="s">
        <v>70</v>
      </c>
      <c r="C2" s="18"/>
      <c r="D2" s="18"/>
    </row>
    <row r="3" spans="2:14" ht="16" thickBot="1" x14ac:dyDescent="0.25">
      <c r="D3" s="19"/>
    </row>
    <row r="4" spans="2:14" ht="17" thickBot="1" x14ac:dyDescent="0.25">
      <c r="B4" s="216" t="s">
        <v>73</v>
      </c>
      <c r="C4" s="217"/>
      <c r="D4" s="218"/>
      <c r="G4" s="216" t="s">
        <v>99</v>
      </c>
      <c r="H4" s="217"/>
      <c r="I4" s="218"/>
      <c r="K4" s="282" t="s">
        <v>146</v>
      </c>
      <c r="L4" s="283"/>
      <c r="M4" s="283"/>
      <c r="N4" s="284"/>
    </row>
    <row r="5" spans="2:14" ht="16" x14ac:dyDescent="0.2">
      <c r="B5" s="219" t="s">
        <v>74</v>
      </c>
      <c r="C5" s="220"/>
      <c r="D5" s="6" t="s">
        <v>148</v>
      </c>
      <c r="G5" s="324" t="s">
        <v>77</v>
      </c>
      <c r="H5" s="325"/>
      <c r="I5" s="93">
        <v>500</v>
      </c>
      <c r="K5" s="285" t="s">
        <v>144</v>
      </c>
      <c r="L5" s="286"/>
      <c r="M5" s="158" t="s">
        <v>19</v>
      </c>
      <c r="N5" s="159" t="s">
        <v>145</v>
      </c>
    </row>
    <row r="6" spans="2:14" x14ac:dyDescent="0.2">
      <c r="B6" s="97"/>
      <c r="C6" s="98" t="s">
        <v>84</v>
      </c>
      <c r="D6" s="6">
        <v>0</v>
      </c>
      <c r="G6" s="209" t="s">
        <v>90</v>
      </c>
      <c r="H6" s="314"/>
      <c r="I6" s="104">
        <v>0.25</v>
      </c>
      <c r="K6" s="205" t="s">
        <v>77</v>
      </c>
      <c r="L6" s="206"/>
      <c r="M6" s="156"/>
      <c r="N6" s="157"/>
    </row>
    <row r="7" spans="2:14" x14ac:dyDescent="0.2">
      <c r="B7" s="97"/>
      <c r="C7" s="98" t="s">
        <v>83</v>
      </c>
      <c r="D7" s="100">
        <f>(IF(D5="Desktop (Manual)",( 12000), (32000)))+IF(D5="Desktop (Manual)", (6000), (8500))*D6</f>
        <v>12000</v>
      </c>
      <c r="G7" s="320" t="s">
        <v>92</v>
      </c>
      <c r="H7" s="321"/>
      <c r="I7" s="116">
        <v>5</v>
      </c>
      <c r="K7" s="207" t="s">
        <v>98</v>
      </c>
      <c r="L7" s="208"/>
      <c r="M7" s="152"/>
      <c r="N7" s="155"/>
    </row>
    <row r="8" spans="2:14" ht="16" thickBot="1" x14ac:dyDescent="0.25">
      <c r="B8" s="318" t="s">
        <v>33</v>
      </c>
      <c r="C8" s="319"/>
      <c r="D8" s="112">
        <v>12</v>
      </c>
      <c r="G8" s="302" t="s">
        <v>147</v>
      </c>
      <c r="H8" s="303"/>
      <c r="I8" s="116"/>
      <c r="K8" s="209"/>
      <c r="L8" s="210"/>
      <c r="M8" s="152"/>
      <c r="N8" s="155"/>
    </row>
    <row r="9" spans="2:14" ht="16" thickBot="1" x14ac:dyDescent="0.25">
      <c r="B9" s="322" t="s">
        <v>75</v>
      </c>
      <c r="C9" s="323"/>
      <c r="D9" s="101">
        <f>D7/12</f>
        <v>1000</v>
      </c>
      <c r="G9" s="287" t="s">
        <v>94</v>
      </c>
      <c r="H9" s="315"/>
      <c r="I9" s="117"/>
      <c r="K9" s="209"/>
      <c r="L9" s="210"/>
      <c r="M9" s="152"/>
      <c r="N9" s="155"/>
    </row>
    <row r="10" spans="2:14" s="92" customFormat="1" ht="16" thickBot="1" x14ac:dyDescent="0.25">
      <c r="B10" s="61"/>
      <c r="C10" s="61"/>
      <c r="D10" s="91"/>
      <c r="G10" s="295" t="s">
        <v>93</v>
      </c>
      <c r="H10" s="295"/>
      <c r="I10" s="10"/>
      <c r="K10" s="298"/>
      <c r="L10" s="299"/>
      <c r="M10" s="153"/>
      <c r="N10" s="155"/>
    </row>
    <row r="11" spans="2:14" ht="17" thickBot="1" x14ac:dyDescent="0.25">
      <c r="B11" s="216" t="s">
        <v>28</v>
      </c>
      <c r="C11" s="217"/>
      <c r="D11" s="218"/>
      <c r="K11" s="287"/>
      <c r="L11" s="288"/>
      <c r="M11" s="154"/>
      <c r="N11" s="155"/>
    </row>
    <row r="12" spans="2:14" ht="16" x14ac:dyDescent="0.2">
      <c r="B12" s="316" t="s">
        <v>47</v>
      </c>
      <c r="C12" s="317"/>
      <c r="D12" s="106">
        <v>8</v>
      </c>
      <c r="G12" s="270" t="s">
        <v>96</v>
      </c>
      <c r="H12" s="271"/>
      <c r="I12" s="272"/>
    </row>
    <row r="13" spans="2:14" ht="16" x14ac:dyDescent="0.2">
      <c r="B13" s="312" t="s">
        <v>48</v>
      </c>
      <c r="C13" s="313"/>
      <c r="D13" s="107">
        <v>1</v>
      </c>
      <c r="G13" s="291" t="s">
        <v>77</v>
      </c>
      <c r="H13" s="292"/>
      <c r="I13" s="6">
        <v>500</v>
      </c>
    </row>
    <row r="14" spans="2:14" ht="16" x14ac:dyDescent="0.2">
      <c r="B14" s="308" t="s">
        <v>76</v>
      </c>
      <c r="C14" s="309"/>
      <c r="D14" s="107">
        <v>2</v>
      </c>
      <c r="G14" s="249" t="s">
        <v>79</v>
      </c>
      <c r="H14" s="250"/>
      <c r="I14" s="93" t="str">
        <f>D5</f>
        <v>Desktop (Manual)</v>
      </c>
    </row>
    <row r="15" spans="2:14" ht="16" x14ac:dyDescent="0.2">
      <c r="B15" s="209" t="s">
        <v>49</v>
      </c>
      <c r="C15" s="210"/>
      <c r="D15" s="107">
        <v>5</v>
      </c>
      <c r="G15" s="310" t="s">
        <v>81</v>
      </c>
      <c r="H15" s="311"/>
      <c r="I15" s="93" t="s">
        <v>82</v>
      </c>
    </row>
    <row r="16" spans="2:14" ht="16" x14ac:dyDescent="0.2">
      <c r="B16" s="308" t="s">
        <v>97</v>
      </c>
      <c r="C16" s="309"/>
      <c r="D16" s="149">
        <v>70000</v>
      </c>
      <c r="G16" s="249" t="s">
        <v>80</v>
      </c>
      <c r="H16" s="250"/>
      <c r="I16" s="5">
        <v>5</v>
      </c>
    </row>
    <row r="17" spans="2:9" ht="17" thickBot="1" x14ac:dyDescent="0.25">
      <c r="B17" s="306" t="s">
        <v>143</v>
      </c>
      <c r="C17" s="307"/>
      <c r="D17" s="115">
        <f>D14*D16/365</f>
        <v>383.56164383561645</v>
      </c>
      <c r="G17" s="310" t="s">
        <v>78</v>
      </c>
      <c r="H17" s="311"/>
      <c r="I17" s="6" t="s">
        <v>36</v>
      </c>
    </row>
    <row r="18" spans="2:9" ht="16" x14ac:dyDescent="0.2">
      <c r="G18" s="150"/>
      <c r="H18" s="151" t="s">
        <v>85</v>
      </c>
      <c r="I18" s="105">
        <f>IF(I17="Yes",(180),(0))</f>
        <v>0</v>
      </c>
    </row>
    <row r="19" spans="2:9" ht="16" thickBot="1" x14ac:dyDescent="0.25">
      <c r="G19" s="304" t="s">
        <v>86</v>
      </c>
      <c r="H19" s="305"/>
      <c r="I19" s="5">
        <v>5</v>
      </c>
    </row>
    <row r="20" spans="2:9" ht="17" thickBot="1" x14ac:dyDescent="0.25">
      <c r="B20" s="296" t="s">
        <v>26</v>
      </c>
      <c r="C20" s="297"/>
      <c r="D20" s="160"/>
      <c r="G20" s="300" t="s">
        <v>87</v>
      </c>
      <c r="H20" s="301"/>
      <c r="I20" s="5">
        <v>5</v>
      </c>
    </row>
    <row r="21" spans="2:9" ht="16" thickBot="1" x14ac:dyDescent="0.25">
      <c r="B21" s="221" t="s">
        <v>54</v>
      </c>
      <c r="C21" s="222"/>
      <c r="D21" s="96" t="e">
        <f>D22/A18</f>
        <v>#DIV/0!</v>
      </c>
      <c r="G21" s="293" t="s">
        <v>91</v>
      </c>
      <c r="H21" s="294"/>
      <c r="I21" s="114">
        <v>5</v>
      </c>
    </row>
    <row r="22" spans="2:9" ht="16" thickBot="1" x14ac:dyDescent="0.25">
      <c r="B22" s="207" t="s">
        <v>55</v>
      </c>
      <c r="C22" s="208"/>
      <c r="D22" s="99" t="e">
        <f>D23/A21</f>
        <v>#DIV/0!</v>
      </c>
      <c r="G22" s="289" t="s">
        <v>88</v>
      </c>
      <c r="H22" s="290"/>
      <c r="I22" s="95">
        <f>SUM(I16,I18,I19,I20,I21)</f>
        <v>20</v>
      </c>
    </row>
    <row r="23" spans="2:9" ht="16" thickBot="1" x14ac:dyDescent="0.25">
      <c r="B23" s="209" t="s">
        <v>56</v>
      </c>
      <c r="C23" s="210"/>
      <c r="D23" s="99">
        <f>D24/4</f>
        <v>0</v>
      </c>
      <c r="G23" s="289" t="s">
        <v>89</v>
      </c>
      <c r="H23" s="290"/>
      <c r="I23" s="94">
        <f>I22*I13</f>
        <v>10000</v>
      </c>
    </row>
    <row r="24" spans="2:9" x14ac:dyDescent="0.2">
      <c r="B24" s="209" t="s">
        <v>57</v>
      </c>
      <c r="C24" s="210"/>
      <c r="D24" s="99">
        <f>D25/12</f>
        <v>0</v>
      </c>
    </row>
    <row r="25" spans="2:9" ht="16" thickBot="1" x14ac:dyDescent="0.25">
      <c r="B25" s="298" t="s">
        <v>58</v>
      </c>
      <c r="C25" s="299"/>
      <c r="D25" s="102">
        <f>IF(A14&gt;E11,E11,A14)</f>
        <v>0</v>
      </c>
    </row>
    <row r="26" spans="2:9" ht="16" thickBot="1" x14ac:dyDescent="0.25">
      <c r="B26" s="287" t="s">
        <v>67</v>
      </c>
      <c r="C26" s="288"/>
      <c r="D26" s="103" t="e">
        <f>D25/E11</f>
        <v>#DIV/0!</v>
      </c>
    </row>
    <row r="27" spans="2:9" x14ac:dyDescent="0.2">
      <c r="B27" s="108" t="s">
        <v>27</v>
      </c>
      <c r="C27" s="90"/>
      <c r="D27" s="90"/>
    </row>
    <row r="28" spans="2:9" x14ac:dyDescent="0.2">
      <c r="B28" s="113"/>
      <c r="C28" s="15" t="s">
        <v>95</v>
      </c>
    </row>
    <row r="29" spans="2:9" x14ac:dyDescent="0.2">
      <c r="B29" s="111"/>
      <c r="C29" s="15" t="s">
        <v>0</v>
      </c>
    </row>
    <row r="30" spans="2:9" x14ac:dyDescent="0.2">
      <c r="B30" s="71"/>
      <c r="C30" s="15" t="s">
        <v>1</v>
      </c>
    </row>
    <row r="32" spans="2:9" x14ac:dyDescent="0.2">
      <c r="B32" s="65"/>
      <c r="C32" s="65"/>
      <c r="D32" s="148"/>
    </row>
    <row r="37" spans="2:4" x14ac:dyDescent="0.2">
      <c r="B37" s="90"/>
    </row>
    <row r="39" spans="2:4" x14ac:dyDescent="0.2">
      <c r="B39" s="64"/>
      <c r="C39" s="65"/>
      <c r="D39" s="27"/>
    </row>
    <row r="42" spans="2:4" x14ac:dyDescent="0.2">
      <c r="B42" s="90"/>
      <c r="C42" s="90"/>
    </row>
    <row r="43" spans="2:4" x14ac:dyDescent="0.2">
      <c r="B43" s="90"/>
      <c r="C43" s="90"/>
    </row>
    <row r="46" spans="2:4" x14ac:dyDescent="0.2">
      <c r="B46" s="27"/>
      <c r="C46" s="27"/>
      <c r="D46" s="27"/>
    </row>
    <row r="47" spans="2:4" x14ac:dyDescent="0.2">
      <c r="B47" s="90"/>
      <c r="C47" s="108"/>
      <c r="D47" s="108"/>
    </row>
    <row r="49" spans="2:4" x14ac:dyDescent="0.2">
      <c r="B49" s="27"/>
      <c r="C49" s="27"/>
      <c r="D49" s="27"/>
    </row>
    <row r="50" spans="2:4" x14ac:dyDescent="0.2">
      <c r="B50" s="27"/>
      <c r="C50" s="27"/>
      <c r="D50" s="27"/>
    </row>
    <row r="51" spans="2:4" x14ac:dyDescent="0.2">
      <c r="B51" s="27"/>
      <c r="C51" s="27"/>
      <c r="D51" s="27"/>
    </row>
    <row r="52" spans="2:4" x14ac:dyDescent="0.2">
      <c r="B52" s="27"/>
      <c r="C52" s="27"/>
      <c r="D52" s="27"/>
    </row>
    <row r="53" spans="2:4" x14ac:dyDescent="0.2">
      <c r="B53" s="27"/>
      <c r="C53" s="27"/>
      <c r="D53" s="27"/>
    </row>
    <row r="70" spans="4:4" x14ac:dyDescent="0.2">
      <c r="D70" s="109"/>
    </row>
    <row r="71" spans="4:4" x14ac:dyDescent="0.2">
      <c r="D71" s="110"/>
    </row>
    <row r="72" spans="4:4" x14ac:dyDescent="0.2">
      <c r="D72" s="63"/>
    </row>
  </sheetData>
  <mergeCells count="44">
    <mergeCell ref="K6:L6"/>
    <mergeCell ref="K7:L7"/>
    <mergeCell ref="K8:L8"/>
    <mergeCell ref="K9:L9"/>
    <mergeCell ref="G5:H5"/>
    <mergeCell ref="G4:I4"/>
    <mergeCell ref="G6:H6"/>
    <mergeCell ref="G9:H9"/>
    <mergeCell ref="B11:D11"/>
    <mergeCell ref="B12:C12"/>
    <mergeCell ref="B4:D4"/>
    <mergeCell ref="B5:C5"/>
    <mergeCell ref="B8:C8"/>
    <mergeCell ref="G7:H7"/>
    <mergeCell ref="B9:C9"/>
    <mergeCell ref="G12:I12"/>
    <mergeCell ref="G19:H19"/>
    <mergeCell ref="K10:L10"/>
    <mergeCell ref="K11:L11"/>
    <mergeCell ref="B17:C17"/>
    <mergeCell ref="B16:C16"/>
    <mergeCell ref="G17:H17"/>
    <mergeCell ref="G14:H14"/>
    <mergeCell ref="G15:H15"/>
    <mergeCell ref="B13:C13"/>
    <mergeCell ref="B15:C15"/>
    <mergeCell ref="G16:H16"/>
    <mergeCell ref="B14:C14"/>
    <mergeCell ref="K4:N4"/>
    <mergeCell ref="K5:L5"/>
    <mergeCell ref="B26:C26"/>
    <mergeCell ref="G22:H22"/>
    <mergeCell ref="G13:H13"/>
    <mergeCell ref="G23:H23"/>
    <mergeCell ref="G21:H21"/>
    <mergeCell ref="G10:H10"/>
    <mergeCell ref="B20:C20"/>
    <mergeCell ref="B21:C21"/>
    <mergeCell ref="B22:C22"/>
    <mergeCell ref="B23:C23"/>
    <mergeCell ref="B24:C24"/>
    <mergeCell ref="B25:C25"/>
    <mergeCell ref="G20:H20"/>
    <mergeCell ref="G8:H8"/>
  </mergeCells>
  <dataValidations count="11">
    <dataValidation type="list" allowBlank="1" showInputMessage="1" showErrorMessage="1" sqref="D5" xr:uid="{D0547F80-F4F0-4532-AB58-1F32D41CBFC6}">
      <formula1>"Desktop (Manual), Automatic"</formula1>
    </dataValidation>
    <dataValidation type="list" allowBlank="1" showErrorMessage="1" promptTitle="Color Mode" prompt="Please select your color mode." sqref="I19:I21 I16" xr:uid="{F74025E6-018B-4E52-9E54-9A092405C711}">
      <formula1>"5, 10, 20, 30, 60"</formula1>
    </dataValidation>
    <dataValidation type="list" allowBlank="1" showInputMessage="1" showErrorMessage="1" sqref="I15" xr:uid="{B055D694-5EDE-4726-BC4A-4821A477BF89}">
      <formula1>"Email,"</formula1>
    </dataValidation>
    <dataValidation type="list" allowBlank="1" showInputMessage="1" showErrorMessage="1" sqref="I17" xr:uid="{7F9AFC37-A8E5-4B88-9E56-658D1BF1396E}">
      <formula1>"Yes, No"</formula1>
    </dataValidation>
    <dataValidation type="list" allowBlank="1" showInputMessage="1" showErrorMessage="1" sqref="D6" xr:uid="{0952A057-C64D-4B33-B82E-BCBD88193D9A}">
      <formula1>"0, 1, 2, 3, 4, 5, 6, 7, 8"</formula1>
    </dataValidation>
    <dataValidation type="list" allowBlank="1" showInputMessage="1" showErrorMessage="1" sqref="D12" xr:uid="{E832C219-3B7A-4C45-8772-FAB630B73EFC}">
      <formula1>"8, 10, 12"</formula1>
    </dataValidation>
    <dataValidation type="list" allowBlank="1" showInputMessage="1" showErrorMessage="1" sqref="D13" xr:uid="{A36B8C9F-EB09-496F-B59E-17925C75C1EA}">
      <formula1>"1, 2, 3"</formula1>
    </dataValidation>
    <dataValidation type="list" allowBlank="1" showInputMessage="1" showErrorMessage="1" sqref="I13 I5" xr:uid="{8EACCD2C-7217-4662-BB1E-1AA7DBDE2811}">
      <formula1>"25, 50, 75, 100, 200, 500, 1000"</formula1>
    </dataValidation>
    <dataValidation type="list" allowBlank="1" showInputMessage="1" showErrorMessage="1" sqref="D14" xr:uid="{B18FE1AB-EB62-42B5-A7EB-8A3293C25C9A}">
      <formula1>"1,2,3,4,5"</formula1>
    </dataValidation>
    <dataValidation type="list" allowBlank="1" showInputMessage="1" showErrorMessage="1" sqref="I7" xr:uid="{F694E19D-AC0E-42C5-AD79-878C46D28501}">
      <formula1>"5,10,20,30"</formula1>
    </dataValidation>
    <dataValidation showErrorMessage="1" promptTitle="Artwork Height" prompt="Select your artwork height." sqref="I22:I23" xr:uid="{87008271-0E02-4ED0-B523-6227EFCA7F03}"/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48569"/>
  <sheetViews>
    <sheetView zoomScale="80" zoomScaleNormal="80" workbookViewId="0">
      <selection activeCell="M31" sqref="M31"/>
    </sheetView>
  </sheetViews>
  <sheetFormatPr baseColWidth="10" defaultColWidth="9.1640625" defaultRowHeight="15" zeroHeight="1" x14ac:dyDescent="0.2"/>
  <cols>
    <col min="1" max="1" width="1.5" style="14" customWidth="1"/>
    <col min="2" max="2" width="2.1640625" style="14" customWidth="1"/>
    <col min="3" max="3" width="7.83203125" style="14" customWidth="1"/>
    <col min="4" max="4" width="27.33203125" style="14" customWidth="1"/>
    <col min="5" max="5" width="18.33203125" style="14" customWidth="1"/>
    <col min="6" max="6" width="4.5" style="14" customWidth="1"/>
    <col min="7" max="7" width="16.1640625" style="14" customWidth="1"/>
    <col min="8" max="8" width="66.5" style="14" customWidth="1"/>
    <col min="9" max="9" width="15.1640625" style="14" customWidth="1"/>
    <col min="10" max="10" width="14.33203125" style="14" customWidth="1"/>
    <col min="11" max="11" width="26.6640625" style="14" customWidth="1"/>
    <col min="12" max="12" width="13.1640625" style="14" customWidth="1"/>
    <col min="13" max="13" width="17.33203125" style="14" customWidth="1"/>
    <col min="14" max="16" width="9.1640625" style="14" customWidth="1"/>
    <col min="17" max="17" width="11.33203125" style="14" customWidth="1"/>
    <col min="18" max="18" width="14.5" style="14" customWidth="1"/>
    <col min="19" max="19" width="10.33203125" style="14" customWidth="1"/>
    <col min="20" max="20" width="8.5" style="14" customWidth="1"/>
    <col min="21" max="21" width="12.83203125" style="14" customWidth="1"/>
    <col min="22" max="22" width="14.33203125" style="14" customWidth="1"/>
    <col min="23" max="23" width="12.5" style="14" customWidth="1"/>
    <col min="24" max="24" width="14" style="14" customWidth="1"/>
    <col min="25" max="25" width="12.5" style="14" customWidth="1"/>
    <col min="26" max="26" width="38.6640625" style="14" customWidth="1"/>
    <col min="27" max="27" width="9.1640625" style="14" customWidth="1"/>
    <col min="28" max="16383" width="9.1640625" style="14"/>
    <col min="16384" max="16384" width="0.1640625" style="14" customWidth="1"/>
  </cols>
  <sheetData>
    <row r="1" spans="1:27" s="16" customFormat="1" ht="39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7" ht="27.75" customHeight="1" x14ac:dyDescent="0.4">
      <c r="B2" s="17"/>
      <c r="C2" s="17" t="s">
        <v>70</v>
      </c>
      <c r="D2" s="18"/>
      <c r="E2" s="18"/>
      <c r="F2" s="18"/>
      <c r="G2" s="18"/>
      <c r="H2" s="18"/>
      <c r="I2" s="18"/>
      <c r="J2" s="18"/>
      <c r="K2" s="15"/>
      <c r="L2" s="15"/>
      <c r="M2" s="15"/>
      <c r="N2" s="15"/>
      <c r="O2" s="15"/>
    </row>
    <row r="3" spans="1:27" s="21" customFormat="1" ht="17" thickBot="1" x14ac:dyDescent="0.25">
      <c r="A3" s="15"/>
      <c r="B3" s="15"/>
      <c r="C3" s="15"/>
      <c r="D3" s="15"/>
      <c r="E3" s="19"/>
      <c r="F3" s="19"/>
      <c r="G3" s="20" t="s">
        <v>43</v>
      </c>
      <c r="H3" s="15"/>
      <c r="I3" s="15"/>
      <c r="J3" s="15"/>
      <c r="K3" s="20" t="s">
        <v>41</v>
      </c>
      <c r="L3" s="15"/>
      <c r="M3" s="15"/>
      <c r="N3" s="15"/>
      <c r="O3" s="15"/>
      <c r="Q3" s="22" t="s">
        <v>2</v>
      </c>
      <c r="R3" s="23" t="s">
        <v>3</v>
      </c>
      <c r="S3" s="24" t="s">
        <v>4</v>
      </c>
      <c r="T3" s="25" t="s">
        <v>21</v>
      </c>
      <c r="U3" s="25" t="s">
        <v>23</v>
      </c>
      <c r="V3" s="25" t="s">
        <v>24</v>
      </c>
      <c r="W3" s="23" t="s">
        <v>31</v>
      </c>
      <c r="X3" s="25" t="s">
        <v>34</v>
      </c>
      <c r="Y3" s="25" t="s">
        <v>35</v>
      </c>
      <c r="Z3" s="25" t="s">
        <v>63</v>
      </c>
      <c r="AA3" s="25"/>
    </row>
    <row r="4" spans="1:27" s="21" customFormat="1" ht="17" thickBot="1" x14ac:dyDescent="0.25">
      <c r="A4" s="15"/>
      <c r="B4" s="15"/>
      <c r="C4" s="374" t="s">
        <v>29</v>
      </c>
      <c r="D4" s="375"/>
      <c r="E4" s="26"/>
      <c r="F4" s="27"/>
      <c r="G4" s="366" t="s">
        <v>26</v>
      </c>
      <c r="H4" s="367"/>
      <c r="I4" s="28"/>
      <c r="J4" s="15"/>
      <c r="K4" s="366" t="s">
        <v>26</v>
      </c>
      <c r="L4" s="367"/>
      <c r="M4" s="28"/>
      <c r="N4" s="15"/>
      <c r="O4" s="15"/>
      <c r="Q4" s="29" t="s">
        <v>6</v>
      </c>
      <c r="R4" s="30" t="s">
        <v>9</v>
      </c>
      <c r="S4" s="31" t="s">
        <v>19</v>
      </c>
      <c r="T4" s="32">
        <v>8.0000000000000002E-3</v>
      </c>
      <c r="U4" s="33">
        <v>6.8</v>
      </c>
      <c r="V4" s="33">
        <f>60/E9</f>
        <v>2.7906976744186047</v>
      </c>
      <c r="W4" s="34">
        <f>((E20*E19*E17)*52)*E18</f>
        <v>41600</v>
      </c>
      <c r="X4" s="33">
        <v>12</v>
      </c>
      <c r="Y4" s="33" t="s">
        <v>36</v>
      </c>
      <c r="Z4" s="34">
        <f>4250*12</f>
        <v>51000</v>
      </c>
      <c r="AA4" s="21">
        <f>Z4/E13</f>
        <v>0.255</v>
      </c>
    </row>
    <row r="5" spans="1:27" s="21" customFormat="1" ht="17" thickBot="1" x14ac:dyDescent="0.25">
      <c r="A5" s="15"/>
      <c r="B5" s="15"/>
      <c r="C5" s="378" t="s">
        <v>71</v>
      </c>
      <c r="D5" s="379"/>
      <c r="E5" s="35" t="s">
        <v>72</v>
      </c>
      <c r="F5" s="27"/>
      <c r="G5" s="36"/>
      <c r="H5" s="37"/>
      <c r="I5" s="38"/>
      <c r="J5" s="15"/>
      <c r="K5" s="331" t="s">
        <v>54</v>
      </c>
      <c r="L5" s="332"/>
      <c r="M5" s="39">
        <f>M6/E17</f>
        <v>104.16666666666667</v>
      </c>
      <c r="N5" s="15"/>
      <c r="O5" s="15"/>
      <c r="Q5" s="29"/>
      <c r="R5" s="30"/>
      <c r="S5" s="31"/>
      <c r="T5" s="32"/>
      <c r="U5" s="33"/>
      <c r="V5" s="33"/>
      <c r="W5" s="34"/>
      <c r="X5" s="33"/>
      <c r="Y5" s="33"/>
      <c r="Z5" s="34"/>
    </row>
    <row r="6" spans="1:27" s="21" customFormat="1" x14ac:dyDescent="0.2">
      <c r="A6" s="15"/>
      <c r="B6" s="15"/>
      <c r="C6" s="376" t="s">
        <v>2</v>
      </c>
      <c r="D6" s="377"/>
      <c r="E6" s="5" t="s">
        <v>8</v>
      </c>
      <c r="F6" s="27"/>
      <c r="G6" s="331" t="s">
        <v>54</v>
      </c>
      <c r="H6" s="332"/>
      <c r="I6" s="39">
        <f>(3600/E9)*E10</f>
        <v>159.06976744186048</v>
      </c>
      <c r="J6" s="15"/>
      <c r="K6" s="351" t="s">
        <v>55</v>
      </c>
      <c r="L6" s="352"/>
      <c r="M6" s="40">
        <f>M7/E19</f>
        <v>833.33333333333337</v>
      </c>
      <c r="N6" s="15"/>
      <c r="O6" s="41"/>
      <c r="Q6" s="29" t="s">
        <v>7</v>
      </c>
      <c r="R6" s="30" t="s">
        <v>10</v>
      </c>
      <c r="S6" s="31" t="s">
        <v>20</v>
      </c>
      <c r="T6" s="32">
        <v>1.6E-2</v>
      </c>
      <c r="U6" s="33">
        <v>8.5</v>
      </c>
      <c r="V6" s="33">
        <f>3600/E9</f>
        <v>167.44186046511629</v>
      </c>
      <c r="W6" s="33"/>
      <c r="X6" s="33">
        <v>24</v>
      </c>
      <c r="Y6" s="33" t="s">
        <v>37</v>
      </c>
      <c r="Z6" s="33"/>
      <c r="AA6" s="33"/>
    </row>
    <row r="7" spans="1:27" s="21" customFormat="1" ht="15.75" customHeight="1" x14ac:dyDescent="0.2">
      <c r="A7" s="15"/>
      <c r="B7" s="15"/>
      <c r="C7" s="354" t="s">
        <v>69</v>
      </c>
      <c r="D7" s="355"/>
      <c r="E7" s="3" t="s">
        <v>13</v>
      </c>
      <c r="F7" s="42"/>
      <c r="G7" s="351" t="s">
        <v>55</v>
      </c>
      <c r="H7" s="352"/>
      <c r="I7" s="40">
        <f>(I6*E17)*E18</f>
        <v>1272.5581395348838</v>
      </c>
      <c r="J7" s="15"/>
      <c r="K7" s="333" t="s">
        <v>56</v>
      </c>
      <c r="L7" s="334"/>
      <c r="M7" s="40">
        <f>M8/4</f>
        <v>4166.666666666667</v>
      </c>
      <c r="N7" s="15"/>
      <c r="O7" s="15"/>
      <c r="Q7" s="29" t="s">
        <v>8</v>
      </c>
      <c r="R7" s="30" t="s">
        <v>11</v>
      </c>
      <c r="S7" s="31"/>
      <c r="T7" s="32">
        <v>2.8000000000000001E-2</v>
      </c>
      <c r="U7" s="33">
        <v>14.5</v>
      </c>
      <c r="V7" s="33">
        <f>V6*0.1</f>
        <v>16.744186046511629</v>
      </c>
      <c r="W7" s="33"/>
      <c r="X7" s="43">
        <v>36</v>
      </c>
      <c r="Y7" s="33"/>
      <c r="Z7" s="33"/>
      <c r="AA7" s="33"/>
    </row>
    <row r="8" spans="1:27" s="21" customFormat="1" x14ac:dyDescent="0.2">
      <c r="A8" s="15"/>
      <c r="B8" s="15"/>
      <c r="C8" s="372" t="s">
        <v>4</v>
      </c>
      <c r="D8" s="373"/>
      <c r="E8" s="13" t="s">
        <v>19</v>
      </c>
      <c r="F8" s="27"/>
      <c r="G8" s="333" t="s">
        <v>56</v>
      </c>
      <c r="H8" s="334"/>
      <c r="I8" s="40">
        <f>I7*E19</f>
        <v>6362.7906976744189</v>
      </c>
      <c r="J8" s="15"/>
      <c r="K8" s="333" t="s">
        <v>57</v>
      </c>
      <c r="L8" s="334"/>
      <c r="M8" s="40">
        <f>M9/12</f>
        <v>16666.666666666668</v>
      </c>
      <c r="N8" s="15"/>
      <c r="O8" s="15"/>
      <c r="Q8" s="31"/>
      <c r="R8" s="30" t="s">
        <v>12</v>
      </c>
      <c r="S8" s="31"/>
      <c r="T8" s="32">
        <v>1.7999999999999999E-2</v>
      </c>
      <c r="U8" s="33">
        <v>7.8</v>
      </c>
      <c r="V8" s="33"/>
      <c r="W8" s="33"/>
      <c r="X8" s="33">
        <v>48</v>
      </c>
      <c r="Y8" s="33"/>
      <c r="Z8" s="33"/>
      <c r="AA8" s="33"/>
    </row>
    <row r="9" spans="1:27" s="21" customFormat="1" ht="16" thickBot="1" x14ac:dyDescent="0.25">
      <c r="A9" s="15"/>
      <c r="B9" s="15"/>
      <c r="C9" s="356" t="s">
        <v>25</v>
      </c>
      <c r="D9" s="357"/>
      <c r="E9" s="11">
        <f>IF(AND(E6=Q4,E7=R4,E8=S4),U4,IF(AND(E6=Q6,E7=R4,E8=S4),U6,IF(AND(E6=Q7,E7=R4,E8=S4),U7,IF(AND(E6=Q4,E7=R6,E8=S4),U8,IF(AND(E6=Q6,E7=R6,E8=S4),U9,IF(AND(E6=Q7,E7=R6,E8=S4),U10,IF(AND(E6=Q4,E7=R7,E8=S4),U12,IF(AND(E6=Q6,E7=R7,E8=S4),U13,IF(AND(E6=Q7,E7=R7,E8=S4),U14,IF(AND(E6=Q4,E7=R8,E8=S4),U15,IF(AND(E6=Q6,E7=R8,E8=S4),U18,IF(AND(E6=Q7,E7=R8,E8=S4),U19,IF(AND(E6=Q4,E7=R9,E8=S4),U20,IF(AND(E6=Q6,E7=R9,E8=S4),U21,IF(AND(E6=Q7,E7=R9,E8=S4),U22,IF(AND(E6=Q4,E7=R10,E8=S4),U4,IF(AND(E6=Q6,E7=R10,E8=S4),U6,IF(AND(E6=Q7,E7=R10,E8=S4),U7,IF(AND(E6=Q4,E7=R12,E8=S4),U8,IF(AND(E6=Q6,E7=R12,E8=S4),U9,IF(AND(E6=Q7,E7=R12,E8=S4),U10,IF(AND(E6=Q4,E7=R13,E8=S4),U12,IF(AND(E6=Q6,E7=R13,E8=S4),U13,IF(AND(E6=Q7,E7=R13,E8=S4),U14,IF(AND(E6=Q4,E7=R14,E8=S4),U15,IF(AND(E6=Q6,E7=R14,E8=S4),U18,IF(AND(E6=Q7,E7=R14,E8=S4),U19,IF(AND(E6=Q4,E7=R15,E8=S4),U20,IF(AND(E6=Q6,E7=R15,E8=S4),U21,IF(AND(E6=Q7,E7=R15,E8=S4),U22,IF(AND(E6=Q4,E7=R4,E8=S6),U23,IF(AND(E6=Q6,E7=R4,E8=S6),U24,IF(AND(E6=Q7,E7=R4,E8=S6),U25,IF(AND(E6=Q4,E7=R6,E8=S6),U26,IF(AND(E6=Q6,E7=R6,E8=S6),U27,IF(AND(E6=Q7,E7=R6,E8=S6),U28,IF(AND(E6=Q4,E7=R7,E8=S6),U29,IF(AND(E6=Q6,E7=R7,E8=S6),U30,IF(AND(E6=Q7,E7=R7,E8=S6),U31,IF(AND(E6=Q4,E7=R8,E8=S6),U32,IF(AND(E6=Q6,E7=R8,E8=S6),#REF!,IF(AND(E6=Q7,E7=R8,E8=S6),U36,IF(AND(E6=Q4,E7=R9,E8=S6),U33,IF(AND(E6=Q6,E7=R9,E8=S6),U34,IF(AND(E6=Q7,E7=R9,E8=S6),U35,IF(AND(E6=Q4,E7=R10,E8=S6),U23,IF(AND(E6=Q6,E7=R10,E8=S6),U24,IF(AND(E6=Q7,E7=R10,E8=S6),U25,IF(AND(E6=Q4,E7=R12,E8=S6),U26,IF(AND(E6=Q6,E7=R12,E8=S6),U27,IF(AND(E6=Q7,E7=R12,E8=S6),U28,IF(AND(E6=Q4,E7=R13,E8=S6),U29,IF(AND(E6=Q6,E7=R13,E8=S6),U30,IF(AND(E6=Q7,E7=R13,E8=S6),U31,IF(AND(E6=Q4,E7=R14,E8=S6),U32,IF(AND(E6=Q6,E7=R14,E8=S6),#REF!,IF(AND(E6=Q7,E7=R14,E8=S6),#REF!,IF(AND(E6=Q4,E7=R15,E8=S6),U33,IF(AND(E6=Q6,E7=R15,E8=S6),U34,IF(AND(E6=Q7,E7=R15,E8=S6),U35))))))))))))))))))))))))))))))))))))))))))))))))))))))))))))</f>
        <v>21.5</v>
      </c>
      <c r="F9" s="27"/>
      <c r="G9" s="333" t="s">
        <v>57</v>
      </c>
      <c r="H9" s="334"/>
      <c r="I9" s="40">
        <f>I8*4</f>
        <v>25451.162790697676</v>
      </c>
      <c r="J9" s="15"/>
      <c r="K9" s="345" t="s">
        <v>58</v>
      </c>
      <c r="L9" s="346"/>
      <c r="M9" s="44">
        <f>IF(E13&gt;I10,I10,E13)</f>
        <v>200000</v>
      </c>
      <c r="N9" s="15"/>
      <c r="O9" s="15"/>
      <c r="Q9" s="31"/>
      <c r="R9" s="30" t="s">
        <v>13</v>
      </c>
      <c r="S9" s="31"/>
      <c r="T9" s="32">
        <v>3.5999999999999997E-2</v>
      </c>
      <c r="U9" s="33">
        <v>9.5</v>
      </c>
      <c r="V9" s="33"/>
      <c r="W9" s="33"/>
      <c r="X9" s="33">
        <v>60</v>
      </c>
      <c r="Y9" s="33"/>
      <c r="Z9" s="33"/>
      <c r="AA9" s="33"/>
    </row>
    <row r="10" spans="1:27" s="21" customFormat="1" ht="16" thickBot="1" x14ac:dyDescent="0.25">
      <c r="A10" s="15"/>
      <c r="B10" s="15"/>
      <c r="C10" s="380" t="s">
        <v>44</v>
      </c>
      <c r="D10" s="381"/>
      <c r="E10" s="12">
        <v>0.95</v>
      </c>
      <c r="F10" s="27"/>
      <c r="G10" s="345" t="s">
        <v>58</v>
      </c>
      <c r="H10" s="346"/>
      <c r="I10" s="44">
        <f>I9*12</f>
        <v>305413.95348837209</v>
      </c>
      <c r="J10" s="15"/>
      <c r="K10" s="364" t="s">
        <v>67</v>
      </c>
      <c r="L10" s="365"/>
      <c r="M10" s="45">
        <f>M9/I10</f>
        <v>0.65484892787524362</v>
      </c>
      <c r="N10" s="15"/>
      <c r="O10" s="15"/>
      <c r="Q10" s="31"/>
      <c r="R10" s="30" t="s">
        <v>14</v>
      </c>
      <c r="S10" s="31"/>
      <c r="T10" s="32">
        <v>6.3E-2</v>
      </c>
      <c r="U10" s="33">
        <v>16.100000000000001</v>
      </c>
      <c r="V10" s="33"/>
      <c r="W10" s="33"/>
      <c r="X10" s="33"/>
      <c r="Y10" s="33"/>
      <c r="Z10" s="33"/>
      <c r="AA10" s="33"/>
    </row>
    <row r="11" spans="1:27" s="21" customFormat="1" ht="16" thickBot="1" x14ac:dyDescent="0.25">
      <c r="A11" s="15"/>
      <c r="B11" s="15"/>
      <c r="C11" s="46"/>
      <c r="D11" s="46"/>
      <c r="E11" s="47"/>
      <c r="F11" s="27"/>
      <c r="G11" s="48"/>
      <c r="H11" s="48"/>
      <c r="I11" s="49"/>
      <c r="J11" s="15"/>
      <c r="K11" s="15"/>
      <c r="L11" s="15"/>
      <c r="M11" s="15"/>
      <c r="N11" s="15"/>
      <c r="O11" s="15"/>
      <c r="Q11" s="31"/>
      <c r="R11" s="30"/>
      <c r="S11" s="31"/>
      <c r="T11" s="32"/>
      <c r="U11" s="33"/>
      <c r="V11" s="33"/>
      <c r="W11" s="33"/>
      <c r="X11" s="33"/>
      <c r="Y11" s="33"/>
      <c r="Z11" s="33"/>
      <c r="AA11" s="33"/>
    </row>
    <row r="12" spans="1:27" s="21" customFormat="1" ht="17" thickBot="1" x14ac:dyDescent="0.25">
      <c r="A12" s="15"/>
      <c r="B12" s="15"/>
      <c r="C12" s="328" t="s">
        <v>30</v>
      </c>
      <c r="D12" s="329"/>
      <c r="E12" s="330"/>
      <c r="F12" s="27"/>
      <c r="G12" s="48" t="s">
        <v>59</v>
      </c>
      <c r="H12" s="48"/>
      <c r="I12" s="49"/>
      <c r="J12" s="15"/>
      <c r="K12" s="368" t="s">
        <v>32</v>
      </c>
      <c r="L12" s="369"/>
      <c r="M12" s="50"/>
      <c r="N12" s="15"/>
      <c r="O12" s="15"/>
      <c r="Q12" s="31"/>
      <c r="R12" s="30" t="s">
        <v>15</v>
      </c>
      <c r="S12" s="31"/>
      <c r="T12" s="32">
        <v>3.2000000000000001E-2</v>
      </c>
      <c r="U12" s="33">
        <v>8.6</v>
      </c>
      <c r="V12" s="33"/>
      <c r="W12" s="33"/>
      <c r="X12" s="33"/>
      <c r="Y12" s="33"/>
      <c r="Z12" s="33"/>
      <c r="AA12" s="33"/>
    </row>
    <row r="13" spans="1:27" s="21" customFormat="1" ht="15.75" customHeight="1" thickBot="1" x14ac:dyDescent="0.25">
      <c r="A13" s="15"/>
      <c r="B13" s="15"/>
      <c r="C13" s="331" t="s">
        <v>45</v>
      </c>
      <c r="D13" s="332"/>
      <c r="E13" s="89">
        <v>200000</v>
      </c>
      <c r="F13" s="42"/>
      <c r="G13" s="368" t="s">
        <v>32</v>
      </c>
      <c r="H13" s="369"/>
      <c r="I13" s="50"/>
      <c r="J13" s="15"/>
      <c r="K13" s="362" t="s">
        <v>5</v>
      </c>
      <c r="L13" s="363"/>
      <c r="M13" s="8">
        <f>I14</f>
        <v>4.5</v>
      </c>
      <c r="N13" s="15"/>
      <c r="O13" s="15"/>
      <c r="Q13" s="31"/>
      <c r="R13" s="30" t="s">
        <v>16</v>
      </c>
      <c r="S13" s="31"/>
      <c r="T13" s="32">
        <v>6.4000000000000001E-2</v>
      </c>
      <c r="U13" s="33">
        <v>10</v>
      </c>
      <c r="V13" s="33"/>
      <c r="W13" s="33"/>
      <c r="X13" s="33"/>
      <c r="Y13" s="33"/>
      <c r="Z13" s="33"/>
      <c r="AA13" s="33"/>
    </row>
    <row r="14" spans="1:27" s="21" customFormat="1" ht="16" thickBot="1" x14ac:dyDescent="0.25">
      <c r="A14" s="15"/>
      <c r="B14" s="15"/>
      <c r="C14" s="345" t="s">
        <v>46</v>
      </c>
      <c r="D14" s="346"/>
      <c r="E14" s="4">
        <v>10</v>
      </c>
      <c r="F14" s="27"/>
      <c r="G14" s="362" t="s">
        <v>5</v>
      </c>
      <c r="H14" s="363"/>
      <c r="I14" s="8">
        <v>4.5</v>
      </c>
      <c r="J14" s="15"/>
      <c r="K14" s="354" t="s">
        <v>22</v>
      </c>
      <c r="L14" s="355"/>
      <c r="M14" s="51">
        <f>IF(AND(E6=Q4,E7=R4),T4,IF(AND(E6=Q6,E7=R4),T6,IF(AND(E6=Q7,E7=R4),T7,IF(AND(E6=Q4,E7=R6),T8,IF(AND(E6=Q6,E7=R6),T9,IF(AND(E6=Q7,E7=R6),T10,IF(AND(E6=Q4,E7=R7),T12,IF(AND(E6=Q6,E7=R7),T13,IF(AND(E6=Q7,E7=R7),T14,IF(AND(E6=Q4,E7=R8),T15,IF(AND(E6=Q6,E7=R8),T18,IF(AND(E6=Q7,E7=R8),T19,IF(AND(E6=Q4,E7=R9),T20,IF(AND(E6=Q6,E7=R9),T21,IF(AND(E6=Q7,E7=R9),T22,IF(AND(E6=Q4,E7=R10),T4,IF(AND(E6=Q6,E7=R10),T6,IF(AND(E6=Q7,E7=R10),T7,IF(AND(E6=Q4,E7=R12),T8,IF(AND(E6=Q6,E7=R12),T9,IF(AND(E6=Q7,E7=R12),T10,IF(AND(E6=Q4,E7=R13),T12,IF(AND(E6=Q6,E7=R13),T13,IF(AND(E6=Q7,E7=R13),T14,IF(AND(E6=Q4,E7=R14),T15,IF(AND(E6=Q6,E7=R14),T18,IF(AND(E6=Q7,E7=R14),T19,IF(AND(E6=Q4,E7=R15),T20,IF(AND(E6=Q6,E7=R15),T21,IF(AND(E6=Q7,E7=R15),T22))))))))))))))))))))))))))))))</f>
        <v>0.44800000000000001</v>
      </c>
      <c r="N14" s="15"/>
      <c r="O14" s="15"/>
      <c r="Q14" s="31"/>
      <c r="R14" s="30" t="s">
        <v>17</v>
      </c>
      <c r="S14" s="31"/>
      <c r="T14" s="32">
        <v>0.112</v>
      </c>
      <c r="U14" s="33">
        <v>17</v>
      </c>
      <c r="V14" s="33"/>
      <c r="W14" s="33"/>
      <c r="X14" s="33"/>
      <c r="Y14" s="33"/>
      <c r="Z14" s="33"/>
      <c r="AA14" s="33"/>
    </row>
    <row r="15" spans="1:27" s="21" customFormat="1" ht="16" thickBot="1" x14ac:dyDescent="0.25">
      <c r="A15" s="15"/>
      <c r="B15" s="15"/>
      <c r="C15" s="48"/>
      <c r="D15" s="48"/>
      <c r="E15" s="10"/>
      <c r="F15" s="27"/>
      <c r="G15" s="354" t="s">
        <v>22</v>
      </c>
      <c r="H15" s="355"/>
      <c r="I15" s="51">
        <f>IF(AND(E6=Q4,E7=R4),T4,IF(AND(E6=Q6,E7=R4),T6,IF(AND(E6=Q7,E7=R4),T7,IF(AND(E6=Q4,E7=R6),T8,IF(AND(E6=Q6,E7=R6),T9,IF(AND(E6=Q7,E7=R6),T10,IF(AND(E6=Q4,E7=R7),T12,IF(AND(E6=Q6,E7=R7),T13,IF(AND(E6=Q7,E7=R7),T14,IF(AND(E6=Q4,E7=R8),T15,IF(AND(E6=Q6,E7=R8),T18,IF(AND(E6=Q7,E7=R8),T19,IF(AND(E6=Q4,E7=R9),T20,IF(AND(E6=Q6,E7=R9),T21,IF(AND(E6=Q7,E7=R9),T22,IF(AND(E6=Q4,E7=R10),T4,IF(AND(E6=Q6,E7=R10),T6,IF(AND(E6=Q7,E7=R10),T7,IF(AND(E6=Q4,E7=R12),T8,IF(AND(E6=Q6,E7=R12),T9,IF(AND(E6=Q7,E7=R12),T10,IF(AND(E6=Q4,E7=R13),T12,IF(AND(E6=Q6,E7=R13),T13,IF(AND(E6=Q7,E7=R13),T14,IF(AND(E6=Q4,E7=R14),T15,IF(AND(E6=Q6,E7=R14),T18,IF(AND(E6=Q7,E7=R14),T19,IF(AND(E6=Q4,E7=R15),T20,IF(AND(E6=Q6,E7=R15),T21,IF(AND(E6=Q7,E7=R15),T22))))))))))))))))))))))))))))))</f>
        <v>0.44800000000000001</v>
      </c>
      <c r="J15" s="15"/>
      <c r="K15" s="52"/>
      <c r="L15" s="53" t="s">
        <v>65</v>
      </c>
      <c r="M15" s="54">
        <f>3500/M9</f>
        <v>1.7500000000000002E-2</v>
      </c>
      <c r="N15" s="15"/>
      <c r="O15" s="15"/>
      <c r="Q15" s="31"/>
      <c r="R15" s="30" t="s">
        <v>18</v>
      </c>
      <c r="S15" s="31"/>
      <c r="T15" s="32">
        <v>7.1999999999999995E-2</v>
      </c>
      <c r="U15" s="33">
        <v>9.9</v>
      </c>
      <c r="V15" s="33"/>
      <c r="W15" s="33"/>
      <c r="X15" s="33"/>
      <c r="Y15" s="33"/>
      <c r="Z15" s="33"/>
      <c r="AA15" s="33"/>
    </row>
    <row r="16" spans="1:27" s="21" customFormat="1" ht="17" thickBot="1" x14ac:dyDescent="0.25">
      <c r="A16" s="15"/>
      <c r="B16" s="15"/>
      <c r="C16" s="328" t="s">
        <v>28</v>
      </c>
      <c r="D16" s="329"/>
      <c r="E16" s="330"/>
      <c r="F16" s="27"/>
      <c r="G16" s="370" t="s">
        <v>65</v>
      </c>
      <c r="H16" s="371"/>
      <c r="I16" s="54">
        <f>3500/I10</f>
        <v>1.1459856237816764E-2</v>
      </c>
      <c r="J16" s="15"/>
      <c r="K16" s="52"/>
      <c r="L16" s="53" t="s">
        <v>66</v>
      </c>
      <c r="M16" s="54">
        <f>4000/M9</f>
        <v>0.02</v>
      </c>
      <c r="N16" s="15"/>
      <c r="O16" s="15"/>
      <c r="Q16" s="55"/>
      <c r="R16" s="56"/>
      <c r="S16" s="55"/>
      <c r="T16" s="32"/>
      <c r="U16" s="33"/>
      <c r="V16" s="33"/>
      <c r="W16" s="33"/>
      <c r="X16" s="33"/>
      <c r="Y16" s="33"/>
      <c r="Z16" s="33"/>
      <c r="AA16" s="33"/>
    </row>
    <row r="17" spans="1:27" s="21" customFormat="1" x14ac:dyDescent="0.2">
      <c r="A17" s="15"/>
      <c r="B17" s="15"/>
      <c r="C17" s="331" t="s">
        <v>47</v>
      </c>
      <c r="D17" s="332"/>
      <c r="E17" s="2">
        <v>8</v>
      </c>
      <c r="F17" s="27"/>
      <c r="G17" s="370" t="s">
        <v>66</v>
      </c>
      <c r="H17" s="371"/>
      <c r="I17" s="54">
        <f>4000/I10</f>
        <v>1.3096978557504873E-2</v>
      </c>
      <c r="J17" s="15"/>
      <c r="K17" s="356" t="s">
        <v>60</v>
      </c>
      <c r="L17" s="357"/>
      <c r="M17" s="57">
        <f>E20/M5</f>
        <v>0.192</v>
      </c>
      <c r="N17" s="15"/>
      <c r="O17" s="15"/>
      <c r="Q17" s="55"/>
      <c r="R17" s="56"/>
      <c r="S17" s="55"/>
      <c r="T17" s="32"/>
      <c r="U17" s="33"/>
      <c r="V17" s="33"/>
      <c r="W17" s="33"/>
      <c r="X17" s="33"/>
      <c r="Y17" s="33"/>
      <c r="Z17" s="33"/>
      <c r="AA17" s="33"/>
    </row>
    <row r="18" spans="1:27" s="21" customFormat="1" x14ac:dyDescent="0.2">
      <c r="A18" s="15"/>
      <c r="B18" s="15"/>
      <c r="C18" s="333" t="s">
        <v>48</v>
      </c>
      <c r="D18" s="334"/>
      <c r="E18" s="3">
        <v>1</v>
      </c>
      <c r="F18" s="27"/>
      <c r="G18" s="351" t="s">
        <v>60</v>
      </c>
      <c r="H18" s="352"/>
      <c r="I18" s="57">
        <f>E20/I6</f>
        <v>0.12573099415204678</v>
      </c>
      <c r="J18" s="15"/>
      <c r="K18" s="356" t="s">
        <v>61</v>
      </c>
      <c r="L18" s="357"/>
      <c r="M18" s="57">
        <f>I19</f>
        <v>0</v>
      </c>
      <c r="N18" s="15"/>
      <c r="O18" s="15"/>
      <c r="T18" s="32">
        <v>0.14399999999999999</v>
      </c>
      <c r="U18" s="33">
        <v>12</v>
      </c>
      <c r="V18" s="33"/>
      <c r="W18" s="33"/>
      <c r="X18" s="33"/>
      <c r="Y18" s="33"/>
      <c r="Z18" s="33"/>
      <c r="AA18" s="33"/>
    </row>
    <row r="19" spans="1:27" s="21" customFormat="1" ht="16" thickBot="1" x14ac:dyDescent="0.25">
      <c r="A19" s="15"/>
      <c r="B19" s="15"/>
      <c r="C19" s="333" t="s">
        <v>49</v>
      </c>
      <c r="D19" s="334"/>
      <c r="E19" s="3">
        <v>5</v>
      </c>
      <c r="F19" s="58"/>
      <c r="G19" s="351" t="s">
        <v>61</v>
      </c>
      <c r="H19" s="352"/>
      <c r="I19" s="57">
        <f>IF(E23="YES",AA4,)</f>
        <v>0</v>
      </c>
      <c r="J19" s="15"/>
      <c r="K19" s="358" t="s">
        <v>42</v>
      </c>
      <c r="L19" s="359"/>
      <c r="M19" s="59">
        <f>SUM(M13:M18)</f>
        <v>5.1775000000000002</v>
      </c>
      <c r="N19" s="15"/>
      <c r="O19" s="15"/>
      <c r="Q19" s="60"/>
      <c r="T19" s="32">
        <v>0.252</v>
      </c>
      <c r="U19" s="33">
        <v>16.8</v>
      </c>
      <c r="V19" s="33"/>
      <c r="W19" s="33"/>
      <c r="X19" s="33"/>
      <c r="Y19" s="33"/>
      <c r="Z19" s="33"/>
      <c r="AA19" s="33"/>
    </row>
    <row r="20" spans="1:27" s="21" customFormat="1" ht="15.75" customHeight="1" thickBot="1" x14ac:dyDescent="0.25">
      <c r="A20" s="15"/>
      <c r="B20" s="15"/>
      <c r="C20" s="360" t="s">
        <v>64</v>
      </c>
      <c r="D20" s="361"/>
      <c r="E20" s="7">
        <v>20</v>
      </c>
      <c r="F20" s="27"/>
      <c r="G20" s="358" t="s">
        <v>42</v>
      </c>
      <c r="H20" s="359"/>
      <c r="I20" s="59">
        <f>SUM(I14:I19)</f>
        <v>5.0982878289473694</v>
      </c>
      <c r="J20" s="15"/>
      <c r="K20" s="353"/>
      <c r="L20" s="353"/>
      <c r="M20" s="62"/>
      <c r="N20" s="15"/>
      <c r="O20" s="63"/>
      <c r="T20" s="32">
        <v>0.128</v>
      </c>
      <c r="U20" s="33">
        <v>11.5</v>
      </c>
      <c r="V20" s="33"/>
      <c r="W20" s="33"/>
      <c r="X20" s="33"/>
      <c r="Y20" s="33"/>
      <c r="Z20" s="33"/>
      <c r="AA20" s="33"/>
    </row>
    <row r="21" spans="1:27" s="21" customFormat="1" ht="17" thickBot="1" x14ac:dyDescent="0.25">
      <c r="A21" s="15"/>
      <c r="B21" s="15"/>
      <c r="C21" s="64"/>
      <c r="D21" s="65"/>
      <c r="E21" s="27"/>
      <c r="F21" s="27"/>
      <c r="G21" s="353"/>
      <c r="H21" s="353"/>
      <c r="I21" s="62"/>
      <c r="J21" s="27"/>
      <c r="K21" s="337" t="s">
        <v>39</v>
      </c>
      <c r="L21" s="338"/>
      <c r="M21" s="339"/>
      <c r="N21" s="15"/>
      <c r="O21" s="15"/>
      <c r="T21" s="32">
        <v>0.25600000000000001</v>
      </c>
      <c r="U21" s="33">
        <v>13.2</v>
      </c>
      <c r="V21" s="33"/>
      <c r="W21" s="33"/>
      <c r="X21" s="33"/>
      <c r="Y21" s="33"/>
      <c r="Z21" s="33"/>
      <c r="AA21" s="33"/>
    </row>
    <row r="22" spans="1:27" s="21" customFormat="1" ht="17" thickBot="1" x14ac:dyDescent="0.25">
      <c r="A22" s="15"/>
      <c r="B22" s="15"/>
      <c r="C22" s="328" t="s">
        <v>38</v>
      </c>
      <c r="D22" s="329"/>
      <c r="E22" s="330"/>
      <c r="F22" s="58"/>
      <c r="G22" s="337" t="s">
        <v>40</v>
      </c>
      <c r="H22" s="338"/>
      <c r="I22" s="339"/>
      <c r="J22" s="15"/>
      <c r="K22" s="340" t="s">
        <v>62</v>
      </c>
      <c r="L22" s="341"/>
      <c r="M22" s="66">
        <f>E14-M19</f>
        <v>4.8224999999999998</v>
      </c>
      <c r="N22" s="15"/>
      <c r="O22" s="15"/>
      <c r="T22" s="32">
        <v>0.44800000000000001</v>
      </c>
      <c r="U22" s="33">
        <v>21.5</v>
      </c>
      <c r="V22" s="33"/>
      <c r="W22" s="33"/>
      <c r="X22" s="33"/>
      <c r="Y22" s="33"/>
      <c r="Z22" s="33"/>
      <c r="AA22" s="33"/>
    </row>
    <row r="23" spans="1:27" s="21" customFormat="1" ht="16" thickBot="1" x14ac:dyDescent="0.25">
      <c r="A23" s="15"/>
      <c r="B23" s="15"/>
      <c r="C23" s="347" t="s">
        <v>50</v>
      </c>
      <c r="D23" s="348"/>
      <c r="E23" s="6" t="s">
        <v>36</v>
      </c>
      <c r="F23" s="58"/>
      <c r="G23" s="340" t="s">
        <v>62</v>
      </c>
      <c r="H23" s="341"/>
      <c r="I23" s="66">
        <f>E14-I20</f>
        <v>4.9017121710526306</v>
      </c>
      <c r="J23" s="15"/>
      <c r="K23" s="331" t="s">
        <v>55</v>
      </c>
      <c r="L23" s="332"/>
      <c r="M23" s="67">
        <f>M22*M6</f>
        <v>4018.75</v>
      </c>
      <c r="N23" s="15"/>
      <c r="O23" s="15"/>
      <c r="U23" s="33">
        <v>6.8</v>
      </c>
    </row>
    <row r="24" spans="1:27" s="21" customFormat="1" x14ac:dyDescent="0.2">
      <c r="A24" s="15"/>
      <c r="B24" s="15"/>
      <c r="C24" s="335" t="s">
        <v>33</v>
      </c>
      <c r="D24" s="336"/>
      <c r="E24" s="9">
        <v>60</v>
      </c>
      <c r="F24" s="27"/>
      <c r="G24" s="331" t="s">
        <v>55</v>
      </c>
      <c r="H24" s="332"/>
      <c r="I24" s="67">
        <f>I23*I7</f>
        <v>6237.7137209302318</v>
      </c>
      <c r="J24" s="15"/>
      <c r="K24" s="333" t="s">
        <v>56</v>
      </c>
      <c r="L24" s="334"/>
      <c r="M24" s="67">
        <f>M7*M$22</f>
        <v>20093.75</v>
      </c>
      <c r="N24" s="15"/>
      <c r="O24" s="15"/>
      <c r="U24" s="33">
        <v>8.5</v>
      </c>
    </row>
    <row r="25" spans="1:27" s="21" customFormat="1" ht="16" thickBot="1" x14ac:dyDescent="0.25">
      <c r="A25" s="15"/>
      <c r="B25" s="15"/>
      <c r="C25" s="349" t="s">
        <v>51</v>
      </c>
      <c r="D25" s="350"/>
      <c r="E25" s="68" t="str">
        <f>IF(E23="YES",Z4/12,"N/A")</f>
        <v>N/A</v>
      </c>
      <c r="F25" s="27"/>
      <c r="G25" s="333" t="s">
        <v>56</v>
      </c>
      <c r="H25" s="334"/>
      <c r="I25" s="67">
        <f>I8*I$23</f>
        <v>31188.568604651158</v>
      </c>
      <c r="J25" s="15"/>
      <c r="K25" s="333" t="s">
        <v>57</v>
      </c>
      <c r="L25" s="334"/>
      <c r="M25" s="67">
        <f>M8*M$22</f>
        <v>80375</v>
      </c>
      <c r="N25" s="15"/>
      <c r="O25" s="15"/>
      <c r="U25" s="43">
        <v>12</v>
      </c>
    </row>
    <row r="26" spans="1:27" s="15" customFormat="1" ht="16" thickBot="1" x14ac:dyDescent="0.25">
      <c r="G26" s="333" t="s">
        <v>57</v>
      </c>
      <c r="H26" s="334"/>
      <c r="I26" s="67">
        <f>I9*I$23</f>
        <v>124754.27441860463</v>
      </c>
      <c r="K26" s="345" t="s">
        <v>58</v>
      </c>
      <c r="L26" s="346"/>
      <c r="M26" s="69">
        <f>M9*M$22</f>
        <v>964500</v>
      </c>
      <c r="U26" s="33">
        <v>7.8</v>
      </c>
    </row>
    <row r="27" spans="1:27" s="21" customFormat="1" ht="16" thickBot="1" x14ac:dyDescent="0.25">
      <c r="A27" s="15"/>
      <c r="B27" s="15"/>
      <c r="C27" s="15"/>
      <c r="D27" s="15"/>
      <c r="E27" s="15"/>
      <c r="F27" s="15"/>
      <c r="G27" s="345" t="s">
        <v>58</v>
      </c>
      <c r="H27" s="346"/>
      <c r="I27" s="69">
        <f>I10*I$23</f>
        <v>1497051.2930232554</v>
      </c>
      <c r="J27" s="15"/>
      <c r="K27" s="15"/>
      <c r="L27" s="15"/>
      <c r="M27" s="15"/>
      <c r="N27" s="15"/>
      <c r="O27" s="15"/>
      <c r="U27" s="21">
        <v>9.5</v>
      </c>
    </row>
    <row r="28" spans="1:27" s="21" customFormat="1" ht="17" thickBot="1" x14ac:dyDescent="0.25">
      <c r="A28" s="14"/>
      <c r="B28" s="15"/>
      <c r="C28" s="70"/>
      <c r="D28" s="15" t="s">
        <v>0</v>
      </c>
      <c r="E28" s="15"/>
      <c r="F28" s="15"/>
      <c r="G28" s="15"/>
      <c r="H28" s="15"/>
      <c r="I28" s="15"/>
      <c r="J28" s="15"/>
      <c r="K28" s="342" t="s">
        <v>52</v>
      </c>
      <c r="L28" s="343"/>
      <c r="M28" s="1">
        <f>I29</f>
        <v>200000</v>
      </c>
      <c r="N28" s="15"/>
      <c r="O28" s="15"/>
      <c r="U28" s="21">
        <v>13.7</v>
      </c>
    </row>
    <row r="29" spans="1:27" s="21" customFormat="1" ht="17" thickBot="1" x14ac:dyDescent="0.25">
      <c r="A29" s="14"/>
      <c r="B29" s="15"/>
      <c r="C29" s="71"/>
      <c r="D29" s="15" t="s">
        <v>1</v>
      </c>
      <c r="E29" s="15"/>
      <c r="F29" s="58"/>
      <c r="G29" s="342" t="s">
        <v>52</v>
      </c>
      <c r="H29" s="343"/>
      <c r="I29" s="1">
        <v>200000</v>
      </c>
      <c r="J29" s="15"/>
      <c r="K29" s="342" t="s">
        <v>53</v>
      </c>
      <c r="L29" s="344"/>
      <c r="M29" s="72">
        <f>IF(E23="YES","LEASE/FINANCE",M28/M25)</f>
        <v>2.4883359253499222</v>
      </c>
      <c r="N29" s="15"/>
      <c r="O29" s="15"/>
      <c r="U29" s="21">
        <v>8.6</v>
      </c>
    </row>
    <row r="30" spans="1:27" s="21" customFormat="1" ht="17" thickBot="1" x14ac:dyDescent="0.25">
      <c r="A30" s="14"/>
      <c r="B30" s="15"/>
      <c r="C30" s="15"/>
      <c r="D30" s="15"/>
      <c r="E30" s="15"/>
      <c r="F30" s="27"/>
      <c r="G30" s="342" t="s">
        <v>53</v>
      </c>
      <c r="H30" s="344"/>
      <c r="I30" s="72">
        <f>IF(E23="YES", "LEASE/FINANCE",I29/I26)</f>
        <v>1.6031514826410946</v>
      </c>
      <c r="J30" s="15"/>
      <c r="K30" s="326" t="s">
        <v>68</v>
      </c>
      <c r="L30" s="327"/>
      <c r="M30" s="73" t="e">
        <f>M25-E25</f>
        <v>#VALUE!</v>
      </c>
      <c r="N30" s="15"/>
      <c r="O30" s="15"/>
      <c r="U30" s="21">
        <v>10</v>
      </c>
    </row>
    <row r="31" spans="1:27" ht="16" thickBot="1" x14ac:dyDescent="0.25">
      <c r="B31" s="15"/>
      <c r="C31" s="15"/>
      <c r="D31" s="15"/>
      <c r="E31" s="15"/>
      <c r="F31" s="74"/>
      <c r="G31" s="326" t="s">
        <v>68</v>
      </c>
      <c r="H31" s="327"/>
      <c r="I31" s="73" t="e">
        <f>I26-E25</f>
        <v>#VALUE!</v>
      </c>
      <c r="J31" s="15"/>
      <c r="K31" s="15"/>
      <c r="L31" s="15"/>
      <c r="M31" s="15"/>
      <c r="N31" s="15"/>
      <c r="O31" s="15"/>
      <c r="U31" s="55">
        <v>14.6</v>
      </c>
    </row>
    <row r="32" spans="1:27" x14ac:dyDescent="0.2">
      <c r="B32" s="15"/>
      <c r="C32" s="27"/>
      <c r="D32" s="27"/>
      <c r="E32" s="27"/>
      <c r="F32" s="75"/>
      <c r="G32" s="15"/>
      <c r="H32" s="15"/>
      <c r="I32" s="15"/>
      <c r="J32" s="15"/>
      <c r="K32" s="76"/>
      <c r="L32" s="76"/>
      <c r="M32" s="76"/>
      <c r="N32" s="15"/>
      <c r="O32" s="15"/>
      <c r="U32" s="55">
        <v>9.9</v>
      </c>
    </row>
    <row r="33" spans="2:21" ht="15" customHeight="1" x14ac:dyDescent="0.2">
      <c r="B33" s="27"/>
      <c r="C33" s="76" t="s">
        <v>27</v>
      </c>
      <c r="D33" s="76"/>
      <c r="E33" s="76"/>
      <c r="F33" s="76"/>
      <c r="G33" s="76"/>
      <c r="H33" s="76"/>
      <c r="I33" s="76"/>
      <c r="J33" s="76"/>
      <c r="K33" s="27"/>
      <c r="L33" s="27"/>
      <c r="M33" s="27"/>
      <c r="N33" s="27"/>
      <c r="O33" s="27"/>
      <c r="P33" s="77"/>
      <c r="Q33" s="77"/>
      <c r="R33" s="77"/>
      <c r="S33" s="77"/>
      <c r="U33" s="55">
        <v>11.5</v>
      </c>
    </row>
    <row r="34" spans="2:21" s="15" customFormat="1" x14ac:dyDescent="0.2">
      <c r="B34" s="27"/>
      <c r="H34" s="27"/>
      <c r="I34" s="27"/>
      <c r="J34" s="27"/>
      <c r="K34" s="77"/>
      <c r="L34" s="77"/>
      <c r="M34" s="77"/>
      <c r="N34" s="27"/>
      <c r="O34" s="27"/>
      <c r="P34" s="27"/>
      <c r="Q34" s="27"/>
      <c r="R34" s="27"/>
      <c r="S34" s="27"/>
      <c r="U34" s="27">
        <v>13.2</v>
      </c>
    </row>
    <row r="35" spans="2:21" hidden="1" x14ac:dyDescent="0.2">
      <c r="B35" s="77"/>
      <c r="C35" s="77"/>
      <c r="D35" s="77"/>
      <c r="E35" s="77"/>
      <c r="F35" s="78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9"/>
      <c r="S35" s="77"/>
      <c r="U35" s="55">
        <v>18.100000000000001</v>
      </c>
    </row>
    <row r="36" spans="2:21" hidden="1" x14ac:dyDescent="0.2">
      <c r="B36" s="77"/>
      <c r="C36" s="77"/>
      <c r="D36" s="77"/>
      <c r="E36" s="77"/>
      <c r="F36" s="78"/>
      <c r="G36" s="80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U36" s="55">
        <v>19.5</v>
      </c>
    </row>
    <row r="37" spans="2:21" hidden="1" x14ac:dyDescent="0.2">
      <c r="B37" s="77"/>
      <c r="C37" s="77"/>
      <c r="D37" s="77"/>
      <c r="E37" s="77"/>
      <c r="F37" s="78"/>
      <c r="G37" s="80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  <row r="38" spans="2:21" hidden="1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</row>
    <row r="39" spans="2:21" hidden="1" x14ac:dyDescent="0.2">
      <c r="B39" s="77"/>
      <c r="C39" s="77"/>
      <c r="D39" s="77"/>
      <c r="E39" s="77"/>
      <c r="F39" s="81"/>
      <c r="G39" s="82"/>
      <c r="H39" s="77"/>
      <c r="I39" s="77"/>
      <c r="J39" s="77"/>
      <c r="N39" s="77"/>
      <c r="O39" s="77"/>
      <c r="P39" s="77"/>
      <c r="Q39" s="77"/>
      <c r="R39" s="77"/>
      <c r="S39" s="77"/>
    </row>
    <row r="40" spans="2:21" hidden="1" x14ac:dyDescent="0.2">
      <c r="F40" s="83"/>
      <c r="G40" s="83"/>
    </row>
    <row r="41" spans="2:21" hidden="1" x14ac:dyDescent="0.2">
      <c r="F41" s="83"/>
      <c r="G41" s="83"/>
    </row>
    <row r="42" spans="2:21" hidden="1" x14ac:dyDescent="0.2">
      <c r="F42" s="83"/>
      <c r="G42" s="83"/>
    </row>
    <row r="43" spans="2:21" hidden="1" x14ac:dyDescent="0.2">
      <c r="F43" s="83"/>
      <c r="G43" s="83"/>
    </row>
    <row r="44" spans="2:21" hidden="1" x14ac:dyDescent="0.2">
      <c r="F44" s="84"/>
      <c r="G44" s="84"/>
    </row>
    <row r="45" spans="2:21" hidden="1" x14ac:dyDescent="0.2">
      <c r="F45" s="84"/>
      <c r="G45" s="85"/>
    </row>
    <row r="46" spans="2:21" hidden="1" x14ac:dyDescent="0.2">
      <c r="F46" s="83"/>
      <c r="G46" s="85"/>
    </row>
    <row r="47" spans="2:21" hidden="1" x14ac:dyDescent="0.2">
      <c r="F47" s="86"/>
      <c r="G47" s="86"/>
    </row>
    <row r="48" spans="2:21" x14ac:dyDescent="0.2"/>
    <row r="52" spans="5:22" hidden="1" x14ac:dyDescent="0.2">
      <c r="V52" s="86"/>
    </row>
    <row r="53" spans="5:22" hidden="1" x14ac:dyDescent="0.2">
      <c r="V53" s="86"/>
    </row>
    <row r="56" spans="5:22" hidden="1" x14ac:dyDescent="0.2">
      <c r="E56" s="87"/>
      <c r="F56" s="87"/>
    </row>
    <row r="57" spans="5:22" hidden="1" x14ac:dyDescent="0.2">
      <c r="E57" s="88"/>
      <c r="F57" s="88"/>
    </row>
    <row r="58" spans="5:22" hidden="1" x14ac:dyDescent="0.2">
      <c r="E58" s="86"/>
      <c r="F58" s="86"/>
    </row>
    <row r="1048560" x14ac:dyDescent="0.2"/>
    <row r="1048561" spans="11:13" x14ac:dyDescent="0.2"/>
    <row r="1048567" spans="11:13" hidden="1" x14ac:dyDescent="0.2">
      <c r="K1048567" s="15"/>
      <c r="L1048567" s="15"/>
      <c r="M1048567" s="15"/>
    </row>
    <row r="1048568" spans="11:13" s="15" customFormat="1" hidden="1" x14ac:dyDescent="0.2">
      <c r="K1048568" s="14"/>
      <c r="L1048568" s="14"/>
      <c r="M1048568" s="14"/>
    </row>
    <row r="1048569" spans="11:13" x14ac:dyDescent="0.2"/>
  </sheetData>
  <sheetProtection selectLockedCells="1"/>
  <dataConsolidate/>
  <mergeCells count="66">
    <mergeCell ref="C4:D4"/>
    <mergeCell ref="C6:D6"/>
    <mergeCell ref="C7:D7"/>
    <mergeCell ref="C5:D5"/>
    <mergeCell ref="G10:H10"/>
    <mergeCell ref="C10:D10"/>
    <mergeCell ref="C13:D13"/>
    <mergeCell ref="C14:D14"/>
    <mergeCell ref="C9:D9"/>
    <mergeCell ref="C8:D8"/>
    <mergeCell ref="G6:H6"/>
    <mergeCell ref="G7:H7"/>
    <mergeCell ref="G8:H8"/>
    <mergeCell ref="G9:H9"/>
    <mergeCell ref="K10:L10"/>
    <mergeCell ref="G23:H23"/>
    <mergeCell ref="K4:L4"/>
    <mergeCell ref="K12:L12"/>
    <mergeCell ref="G4:H4"/>
    <mergeCell ref="G13:H13"/>
    <mergeCell ref="K5:L5"/>
    <mergeCell ref="K6:L6"/>
    <mergeCell ref="K7:L7"/>
    <mergeCell ref="K8:L8"/>
    <mergeCell ref="K9:L9"/>
    <mergeCell ref="G20:H20"/>
    <mergeCell ref="G18:H18"/>
    <mergeCell ref="G16:H16"/>
    <mergeCell ref="G17:H17"/>
    <mergeCell ref="K13:L13"/>
    <mergeCell ref="G30:H30"/>
    <mergeCell ref="G27:H27"/>
    <mergeCell ref="G24:H24"/>
    <mergeCell ref="G21:H21"/>
    <mergeCell ref="G26:H26"/>
    <mergeCell ref="G25:H25"/>
    <mergeCell ref="K14:L14"/>
    <mergeCell ref="K17:L17"/>
    <mergeCell ref="K18:L18"/>
    <mergeCell ref="K19:L19"/>
    <mergeCell ref="C20:D20"/>
    <mergeCell ref="G15:H15"/>
    <mergeCell ref="G14:H14"/>
    <mergeCell ref="C23:D23"/>
    <mergeCell ref="C19:D19"/>
    <mergeCell ref="C25:D25"/>
    <mergeCell ref="G19:H19"/>
    <mergeCell ref="K23:L23"/>
    <mergeCell ref="K24:L24"/>
    <mergeCell ref="K20:L20"/>
    <mergeCell ref="K30:L30"/>
    <mergeCell ref="G31:H31"/>
    <mergeCell ref="C12:E12"/>
    <mergeCell ref="C16:E16"/>
    <mergeCell ref="C22:E22"/>
    <mergeCell ref="C17:D17"/>
    <mergeCell ref="C18:D18"/>
    <mergeCell ref="C24:D24"/>
    <mergeCell ref="K21:M21"/>
    <mergeCell ref="G22:I22"/>
    <mergeCell ref="K22:L22"/>
    <mergeCell ref="K25:L25"/>
    <mergeCell ref="K28:L28"/>
    <mergeCell ref="G29:H29"/>
    <mergeCell ref="K29:L29"/>
    <mergeCell ref="K26:L26"/>
  </mergeCells>
  <dataValidations count="7">
    <dataValidation type="list" allowBlank="1" showInputMessage="1" showErrorMessage="1" sqref="R35" xr:uid="{00000000-0002-0000-0000-000000000000}">
      <formula1>$W$30:$W$32</formula1>
    </dataValidation>
    <dataValidation type="list" allowBlank="1" showErrorMessage="1" promptTitle="Color Mode" prompt="Please select your color mode." sqref="E6" xr:uid="{4FCF739B-AE28-45DE-8301-02D0411EEAFE}">
      <formula1>$Q$4:$Q$7</formula1>
    </dataValidation>
    <dataValidation type="list" showInputMessage="1" showErrorMessage="1" sqref="E8" xr:uid="{2ED55A5E-F512-4E52-8D41-7661B6C00BDA}">
      <formula1>$S$4:$S$6</formula1>
    </dataValidation>
    <dataValidation type="list" allowBlank="1" showInputMessage="1" showErrorMessage="1" sqref="E24" xr:uid="{F98F4F21-BF4A-4732-9244-0D559B551E37}">
      <formula1>$X$4:$X$9</formula1>
    </dataValidation>
    <dataValidation type="list" allowBlank="1" showInputMessage="1" showErrorMessage="1" sqref="E23" xr:uid="{BA0EBC7E-577E-4ED4-B043-0997CD19D4FF}">
      <formula1>$Y$4:$Y$6</formula1>
    </dataValidation>
    <dataValidation type="list" allowBlank="1" showInputMessage="1" showErrorMessage="1" sqref="E5" xr:uid="{76ECB239-B0B1-4962-944E-C6F61DCEC0F1}">
      <formula1>"Helix, Double Helix, Revolution"</formula1>
    </dataValidation>
    <dataValidation type="list" showErrorMessage="1" promptTitle="Artwork Height" prompt="Select your artwork height." sqref="E7" xr:uid="{EFF175AD-D222-4DAC-92FA-1EE0483CCB2A}">
      <formula1>$R$4:$R$15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482F-E799-40AC-A999-8BEF3144CED4}">
  <dimension ref="A1:U1048565"/>
  <sheetViews>
    <sheetView workbookViewId="0">
      <selection activeCell="E2" sqref="E2"/>
    </sheetView>
  </sheetViews>
  <sheetFormatPr baseColWidth="10" defaultColWidth="9.1640625" defaultRowHeight="15" customHeight="1" zeroHeight="1" x14ac:dyDescent="0.2"/>
  <cols>
    <col min="1" max="1" width="1.5" style="14" customWidth="1"/>
    <col min="2" max="2" width="2.1640625" style="14" customWidth="1"/>
    <col min="3" max="3" width="7.83203125" style="14" customWidth="1"/>
    <col min="4" max="4" width="22.6640625" style="14" customWidth="1"/>
    <col min="5" max="5" width="19.5" style="14" customWidth="1"/>
    <col min="6" max="6" width="4.5" style="14" customWidth="1"/>
    <col min="7" max="7" width="16.1640625" style="14" customWidth="1"/>
    <col min="8" max="8" width="14.83203125" style="14" bestFit="1" customWidth="1"/>
    <col min="9" max="9" width="19.83203125" style="14" customWidth="1"/>
    <col min="10" max="10" width="3.83203125" style="14" customWidth="1"/>
    <col min="11" max="13" width="9.1640625" style="14"/>
    <col min="14" max="14" width="29.1640625" style="14" customWidth="1"/>
    <col min="15" max="15" width="9.1640625" style="14"/>
    <col min="16" max="16" width="17" style="14" customWidth="1"/>
    <col min="17" max="17" width="13.33203125" style="14" customWidth="1"/>
    <col min="18" max="18" width="3.5" style="14" customWidth="1"/>
    <col min="19" max="19" width="14.33203125" style="14" customWidth="1"/>
    <col min="20" max="20" width="28.5" style="14" customWidth="1"/>
    <col min="21" max="21" width="14" style="14" customWidth="1"/>
    <col min="22" max="16384" width="9.1640625" style="14"/>
  </cols>
  <sheetData>
    <row r="1" spans="1:21" ht="39" customHeight="1" x14ac:dyDescent="0.2">
      <c r="B1" s="15"/>
      <c r="C1" s="15"/>
      <c r="D1" s="15"/>
      <c r="E1" s="15"/>
      <c r="F1" s="15"/>
      <c r="G1" s="15"/>
      <c r="H1" s="15"/>
      <c r="I1" s="15"/>
      <c r="J1" s="15"/>
    </row>
    <row r="2" spans="1:21" ht="27.75" customHeight="1" x14ac:dyDescent="0.4">
      <c r="B2" s="118"/>
      <c r="C2" s="118" t="s">
        <v>100</v>
      </c>
      <c r="D2" s="119"/>
      <c r="E2" s="119"/>
      <c r="F2" s="119"/>
      <c r="G2" s="119"/>
      <c r="H2" s="119"/>
      <c r="I2" s="119"/>
      <c r="J2" s="119"/>
    </row>
    <row r="3" spans="1:21" s="21" customFormat="1" ht="16" thickBot="1" x14ac:dyDescent="0.25">
      <c r="A3" s="15"/>
      <c r="B3" s="15"/>
      <c r="C3" s="15"/>
      <c r="D3" s="15"/>
      <c r="E3" s="19"/>
      <c r="F3" s="19"/>
      <c r="G3" s="15"/>
      <c r="H3" s="15"/>
      <c r="I3" s="15"/>
      <c r="J3" s="15"/>
      <c r="P3" s="120" t="str">
        <f>IF(E11="Square",E11,"")</f>
        <v>Square</v>
      </c>
      <c r="Q3" s="120" t="str">
        <f>IF(E11="Round",E11,"")</f>
        <v/>
      </c>
      <c r="R3" s="120"/>
    </row>
    <row r="4" spans="1:21" s="21" customFormat="1" ht="16" thickBot="1" x14ac:dyDescent="0.25">
      <c r="A4" s="15"/>
      <c r="B4" s="15"/>
      <c r="C4" s="399" t="s">
        <v>71</v>
      </c>
      <c r="D4" s="400"/>
      <c r="E4" s="121" t="s">
        <v>101</v>
      </c>
      <c r="F4" s="19"/>
      <c r="G4" s="15"/>
      <c r="H4" s="15"/>
      <c r="I4" s="15"/>
      <c r="J4" s="15"/>
      <c r="P4" s="120"/>
      <c r="Q4" s="120"/>
      <c r="R4" s="120"/>
    </row>
    <row r="5" spans="1:21" s="21" customFormat="1" ht="15" customHeight="1" thickBot="1" x14ac:dyDescent="0.25">
      <c r="A5" s="15"/>
      <c r="B5" s="15"/>
      <c r="C5" s="376" t="s">
        <v>102</v>
      </c>
      <c r="D5" s="377"/>
      <c r="E5" s="122"/>
      <c r="F5" s="15"/>
      <c r="G5" s="401" t="s">
        <v>103</v>
      </c>
      <c r="H5" s="402"/>
      <c r="I5" s="123" t="str">
        <f>E4</f>
        <v>X5T</v>
      </c>
      <c r="J5" s="15"/>
      <c r="N5" s="21" t="s">
        <v>104</v>
      </c>
      <c r="O5" s="21" t="e">
        <f>E6/E10</f>
        <v>#DIV/0!</v>
      </c>
    </row>
    <row r="6" spans="1:21" s="21" customFormat="1" x14ac:dyDescent="0.2">
      <c r="A6" s="15"/>
      <c r="B6" s="15"/>
      <c r="C6" s="354" t="s">
        <v>105</v>
      </c>
      <c r="D6" s="355"/>
      <c r="E6" s="124"/>
      <c r="F6" s="15"/>
      <c r="G6" s="331" t="s">
        <v>106</v>
      </c>
      <c r="H6" s="332"/>
      <c r="I6" s="125" t="e">
        <f>SUM(E15*60)</f>
        <v>#DIV/0!</v>
      </c>
      <c r="J6" s="15"/>
      <c r="N6" s="21" t="s">
        <v>107</v>
      </c>
      <c r="P6" s="21">
        <v>0.22</v>
      </c>
      <c r="Q6" s="21">
        <v>0.16</v>
      </c>
      <c r="S6" s="21" t="str">
        <f>IF(P3="Square",P3,Q3)</f>
        <v>Square</v>
      </c>
    </row>
    <row r="7" spans="1:21" s="21" customFormat="1" ht="15.75" customHeight="1" thickBot="1" x14ac:dyDescent="0.25">
      <c r="A7" s="15"/>
      <c r="B7" s="15"/>
      <c r="C7" s="403" t="s">
        <v>108</v>
      </c>
      <c r="D7" s="404"/>
      <c r="E7" s="126">
        <f>SUM(E5*E6)</f>
        <v>0</v>
      </c>
      <c r="F7" s="127"/>
      <c r="G7" s="351" t="s">
        <v>109</v>
      </c>
      <c r="H7" s="352"/>
      <c r="I7" s="40" t="e">
        <f ca="1">CELL("contents", E30)</f>
        <v>#DIV/0!</v>
      </c>
      <c r="J7" s="15"/>
      <c r="N7" s="21" t="s">
        <v>110</v>
      </c>
      <c r="P7" s="21" t="e">
        <f>ROUNDDOWN(O5-(O5*P6),0)</f>
        <v>#DIV/0!</v>
      </c>
      <c r="Q7" s="21" t="e">
        <f>ROUNDDOWN(O5-(O5*Q6),0)</f>
        <v>#DIV/0!</v>
      </c>
    </row>
    <row r="8" spans="1:21" s="21" customFormat="1" ht="16" thickBot="1" x14ac:dyDescent="0.25">
      <c r="A8" s="15"/>
      <c r="B8" s="15"/>
      <c r="C8" s="15"/>
      <c r="D8" s="128"/>
      <c r="E8" s="15"/>
      <c r="F8" s="15"/>
      <c r="G8" s="333" t="s">
        <v>111</v>
      </c>
      <c r="H8" s="334"/>
      <c r="I8" s="40" t="e">
        <f ca="1">SUM(I7*E18)</f>
        <v>#DIV/0!</v>
      </c>
      <c r="J8" s="15"/>
    </row>
    <row r="9" spans="1:21" s="21" customFormat="1" x14ac:dyDescent="0.2">
      <c r="A9" s="15"/>
      <c r="B9" s="15"/>
      <c r="C9" s="362" t="s">
        <v>112</v>
      </c>
      <c r="D9" s="363"/>
      <c r="E9" s="129"/>
      <c r="F9" s="15"/>
      <c r="G9" s="333" t="s">
        <v>113</v>
      </c>
      <c r="H9" s="334"/>
      <c r="I9" s="40" t="e">
        <f ca="1">SUM(I8*4)</f>
        <v>#DIV/0!</v>
      </c>
      <c r="J9" s="15"/>
      <c r="P9" s="21" t="s">
        <v>114</v>
      </c>
      <c r="Q9" s="21" t="s">
        <v>115</v>
      </c>
    </row>
    <row r="10" spans="1:21" s="21" customFormat="1" ht="16" thickBot="1" x14ac:dyDescent="0.25">
      <c r="A10" s="15"/>
      <c r="B10" s="15"/>
      <c r="C10" s="354" t="s">
        <v>116</v>
      </c>
      <c r="D10" s="355"/>
      <c r="E10" s="130"/>
      <c r="F10" s="15"/>
      <c r="G10" s="345" t="s">
        <v>117</v>
      </c>
      <c r="H10" s="346"/>
      <c r="I10" s="44" t="e">
        <f ca="1">SUM(I9*12)</f>
        <v>#DIV/0!</v>
      </c>
      <c r="J10" s="15"/>
      <c r="N10" s="21" t="s">
        <v>118</v>
      </c>
      <c r="O10" s="21" t="e">
        <f>E5/E9</f>
        <v>#DIV/0!</v>
      </c>
      <c r="P10" s="21">
        <v>0.22</v>
      </c>
      <c r="Q10" s="21">
        <v>0.16</v>
      </c>
      <c r="T10" s="21" t="s">
        <v>119</v>
      </c>
      <c r="U10" s="21" t="s">
        <v>120</v>
      </c>
    </row>
    <row r="11" spans="1:21" s="21" customFormat="1" ht="15.75" customHeight="1" thickBot="1" x14ac:dyDescent="0.25">
      <c r="A11" s="15"/>
      <c r="B11" s="15"/>
      <c r="C11" s="397" t="s">
        <v>121</v>
      </c>
      <c r="D11" s="398"/>
      <c r="E11" s="131" t="s">
        <v>122</v>
      </c>
      <c r="F11" s="127"/>
      <c r="G11" s="132"/>
      <c r="H11" s="132"/>
      <c r="I11" s="132"/>
      <c r="J11" s="15"/>
      <c r="N11" s="21" t="s">
        <v>123</v>
      </c>
      <c r="P11" s="21" t="e">
        <f>ROUNDDOWN(O10-(O10*P10),0)</f>
        <v>#DIV/0!</v>
      </c>
      <c r="Q11" s="21" t="e">
        <f>ROUNDDOWN(O10-(O10*Q10),0)</f>
        <v>#DIV/0!</v>
      </c>
      <c r="T11" s="21" t="s">
        <v>124</v>
      </c>
      <c r="U11" s="21" t="e">
        <f>O10*P10</f>
        <v>#DIV/0!</v>
      </c>
    </row>
    <row r="12" spans="1:21" s="21" customFormat="1" ht="16" thickBot="1" x14ac:dyDescent="0.25">
      <c r="A12" s="15"/>
      <c r="B12" s="15"/>
      <c r="C12" s="132"/>
      <c r="D12" s="133"/>
      <c r="E12" s="132"/>
      <c r="F12" s="15"/>
      <c r="G12" s="331" t="s">
        <v>125</v>
      </c>
      <c r="H12" s="390"/>
      <c r="I12" s="134">
        <v>1</v>
      </c>
      <c r="J12" s="15"/>
      <c r="T12" s="21" t="s">
        <v>126</v>
      </c>
      <c r="U12" s="21" t="e">
        <f>O10-U11</f>
        <v>#DIV/0!</v>
      </c>
    </row>
    <row r="13" spans="1:21" s="21" customFormat="1" x14ac:dyDescent="0.2">
      <c r="A13" s="15"/>
      <c r="B13" s="15"/>
      <c r="C13" s="331" t="s">
        <v>127</v>
      </c>
      <c r="D13" s="332"/>
      <c r="E13" s="125" t="e">
        <f>IF(E11="Square",P13,IF(E11="Round",Q13,0))</f>
        <v>#DIV/0!</v>
      </c>
      <c r="F13" s="15"/>
      <c r="G13" s="333" t="s">
        <v>128</v>
      </c>
      <c r="H13" s="391"/>
      <c r="I13" s="135">
        <v>0.52</v>
      </c>
      <c r="J13" s="15"/>
      <c r="N13" s="21" t="s">
        <v>129</v>
      </c>
      <c r="P13" s="21" t="e">
        <f>P7*P11</f>
        <v>#DIV/0!</v>
      </c>
      <c r="Q13" s="21" t="e">
        <f>Q11*Q7</f>
        <v>#DIV/0!</v>
      </c>
    </row>
    <row r="14" spans="1:21" s="21" customFormat="1" ht="17" thickBot="1" x14ac:dyDescent="0.25">
      <c r="A14" s="15"/>
      <c r="B14" s="15"/>
      <c r="C14" s="333" t="s">
        <v>130</v>
      </c>
      <c r="D14" s="334"/>
      <c r="E14" s="130">
        <v>6</v>
      </c>
      <c r="F14" s="15"/>
      <c r="G14" s="392" t="s">
        <v>131</v>
      </c>
      <c r="H14" s="393"/>
      <c r="I14" s="136">
        <f>SUM(I12-I13)</f>
        <v>0.48</v>
      </c>
      <c r="J14" s="15"/>
    </row>
    <row r="15" spans="1:21" s="21" customFormat="1" ht="15.75" customHeight="1" thickBot="1" x14ac:dyDescent="0.25">
      <c r="A15" s="15"/>
      <c r="B15" s="15"/>
      <c r="C15" s="392" t="s">
        <v>132</v>
      </c>
      <c r="D15" s="394"/>
      <c r="E15" s="137" t="e">
        <f>SUM(E13/E14)</f>
        <v>#DIV/0!</v>
      </c>
      <c r="F15" s="58"/>
      <c r="G15" s="132"/>
      <c r="H15" s="132"/>
      <c r="I15" s="132"/>
      <c r="J15" s="15"/>
      <c r="N15" s="60"/>
    </row>
    <row r="16" spans="1:21" s="21" customFormat="1" ht="15.75" customHeight="1" thickBot="1" x14ac:dyDescent="0.25">
      <c r="A16" s="15"/>
      <c r="B16" s="15"/>
      <c r="C16" s="132"/>
      <c r="D16" s="132"/>
      <c r="E16" s="132"/>
      <c r="F16" s="15"/>
      <c r="G16" s="395" t="s">
        <v>133</v>
      </c>
      <c r="H16" s="396"/>
      <c r="I16" s="138" t="s">
        <v>134</v>
      </c>
      <c r="J16" s="15"/>
    </row>
    <row r="17" spans="1:20" s="21" customFormat="1" ht="16" thickBot="1" x14ac:dyDescent="0.25">
      <c r="A17" s="15"/>
      <c r="B17" s="15"/>
      <c r="C17" s="331" t="s">
        <v>135</v>
      </c>
      <c r="D17" s="332"/>
      <c r="E17" s="129">
        <v>7</v>
      </c>
      <c r="F17" s="15"/>
      <c r="G17" s="333" t="s">
        <v>136</v>
      </c>
      <c r="H17" s="334"/>
      <c r="I17" s="67" t="e">
        <f ca="1">I14*I7</f>
        <v>#DIV/0!</v>
      </c>
      <c r="J17" s="15"/>
    </row>
    <row r="18" spans="1:20" s="21" customFormat="1" ht="16" thickBot="1" x14ac:dyDescent="0.25">
      <c r="A18" s="15"/>
      <c r="B18" s="15"/>
      <c r="C18" s="345" t="s">
        <v>137</v>
      </c>
      <c r="D18" s="346"/>
      <c r="E18" s="139">
        <v>4</v>
      </c>
      <c r="F18" s="58"/>
      <c r="G18" s="333" t="s">
        <v>56</v>
      </c>
      <c r="H18" s="334"/>
      <c r="I18" s="67" t="e">
        <f ca="1">I8*I$14</f>
        <v>#DIV/0!</v>
      </c>
      <c r="J18" s="15"/>
    </row>
    <row r="19" spans="1:20" s="21" customFormat="1" x14ac:dyDescent="0.2">
      <c r="A19" s="15"/>
      <c r="B19" s="15"/>
      <c r="C19" s="15"/>
      <c r="D19" s="15"/>
      <c r="E19" s="15"/>
      <c r="F19" s="15"/>
      <c r="G19" s="333" t="s">
        <v>57</v>
      </c>
      <c r="H19" s="334"/>
      <c r="I19" s="67" t="e">
        <f ca="1">I9*I$14</f>
        <v>#DIV/0!</v>
      </c>
      <c r="J19" s="15"/>
    </row>
    <row r="20" spans="1:20" s="21" customFormat="1" ht="16" thickBot="1" x14ac:dyDescent="0.25">
      <c r="A20" s="15"/>
      <c r="B20" s="15"/>
      <c r="C20" s="70"/>
      <c r="D20" s="15" t="s">
        <v>0</v>
      </c>
      <c r="E20" s="15"/>
      <c r="F20" s="15"/>
      <c r="G20" s="345" t="s">
        <v>58</v>
      </c>
      <c r="H20" s="346"/>
      <c r="I20" s="69" t="e">
        <f ca="1">I10*I$14</f>
        <v>#DIV/0!</v>
      </c>
      <c r="J20" s="15"/>
    </row>
    <row r="21" spans="1:20" s="15" customFormat="1" ht="15.75" customHeight="1" thickBot="1" x14ac:dyDescent="0.25">
      <c r="C21" s="71"/>
      <c r="D21" s="15" t="s">
        <v>1</v>
      </c>
      <c r="F21" s="58"/>
      <c r="G21" s="132"/>
      <c r="H21" s="132"/>
      <c r="I21" s="132"/>
    </row>
    <row r="22" spans="1:20" s="21" customFormat="1" ht="20" thickBot="1" x14ac:dyDescent="0.25">
      <c r="A22" s="15"/>
      <c r="B22" s="15"/>
      <c r="C22" s="15"/>
      <c r="D22" s="15"/>
      <c r="E22" s="15"/>
      <c r="F22" s="15"/>
      <c r="G22" s="382" t="s">
        <v>138</v>
      </c>
      <c r="H22" s="383"/>
      <c r="I22" s="1">
        <v>67950</v>
      </c>
      <c r="J22" s="15"/>
    </row>
    <row r="23" spans="1:20" s="21" customFormat="1" ht="21" customHeight="1" thickBot="1" x14ac:dyDescent="0.25">
      <c r="A23" s="14"/>
      <c r="B23" s="15"/>
      <c r="C23" s="15"/>
      <c r="D23" s="15"/>
      <c r="E23" s="15"/>
      <c r="F23" s="74"/>
      <c r="G23" s="15"/>
      <c r="H23" s="15"/>
      <c r="I23" s="15"/>
      <c r="J23" s="15"/>
    </row>
    <row r="24" spans="1:20" s="21" customFormat="1" ht="25" thickBot="1" x14ac:dyDescent="0.35">
      <c r="A24" s="14"/>
      <c r="B24" s="15"/>
      <c r="C24" s="15"/>
      <c r="D24" s="15"/>
      <c r="E24" s="15"/>
      <c r="F24" s="140"/>
      <c r="G24" s="384" t="s">
        <v>139</v>
      </c>
      <c r="H24" s="385"/>
      <c r="I24" s="141" t="e">
        <f ca="1">I22/I19</f>
        <v>#DIV/0!</v>
      </c>
      <c r="J24" s="15"/>
    </row>
    <row r="25" spans="1:20" s="21" customForma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T25" s="21" t="s">
        <v>140</v>
      </c>
    </row>
    <row r="26" spans="1:20" hidden="1" x14ac:dyDescent="0.2">
      <c r="T26" s="14" t="s">
        <v>122</v>
      </c>
    </row>
    <row r="27" spans="1:20" hidden="1" x14ac:dyDescent="0.2">
      <c r="F27" s="142"/>
      <c r="T27" s="14" t="s">
        <v>115</v>
      </c>
    </row>
    <row r="30" spans="1:20" ht="17" hidden="1" thickBot="1" x14ac:dyDescent="0.25">
      <c r="C30" s="386" t="s">
        <v>141</v>
      </c>
      <c r="D30" s="387"/>
      <c r="E30" s="143" t="e">
        <f>SUM(I6*E17)</f>
        <v>#DIV/0!</v>
      </c>
      <c r="F30" s="144"/>
    </row>
    <row r="31" spans="1:20" ht="17" hidden="1" thickBot="1" x14ac:dyDescent="0.25">
      <c r="C31" s="388" t="s">
        <v>142</v>
      </c>
      <c r="D31" s="389"/>
      <c r="E31" s="145" t="e">
        <f>SUM(E18*E30)</f>
        <v>#DIV/0!</v>
      </c>
      <c r="F31" s="146"/>
    </row>
    <row r="32" spans="1:20" hidden="1" x14ac:dyDescent="0.2">
      <c r="F32" s="146"/>
    </row>
    <row r="33" spans="6:7" hidden="1" x14ac:dyDescent="0.2">
      <c r="F33" s="146"/>
      <c r="G33" s="88"/>
    </row>
    <row r="34" spans="6:7" hidden="1" x14ac:dyDescent="0.2">
      <c r="F34" s="146"/>
      <c r="G34" s="88"/>
    </row>
    <row r="36" spans="6:7" hidden="1" x14ac:dyDescent="0.2">
      <c r="F36" s="144"/>
      <c r="G36" s="147"/>
    </row>
    <row r="37" spans="6:7" hidden="1" x14ac:dyDescent="0.2">
      <c r="F37" s="83"/>
      <c r="G37" s="83"/>
    </row>
    <row r="38" spans="6:7" hidden="1" x14ac:dyDescent="0.2">
      <c r="F38" s="83"/>
      <c r="G38" s="83"/>
    </row>
    <row r="39" spans="6:7" hidden="1" x14ac:dyDescent="0.2">
      <c r="F39" s="83"/>
      <c r="G39" s="83"/>
    </row>
    <row r="40" spans="6:7" hidden="1" x14ac:dyDescent="0.2">
      <c r="F40" s="83"/>
      <c r="G40" s="83"/>
    </row>
    <row r="42" spans="6:7" hidden="1" x14ac:dyDescent="0.2">
      <c r="G42" s="86"/>
    </row>
    <row r="43" spans="6:7" hidden="1" x14ac:dyDescent="0.2">
      <c r="F43" s="83"/>
      <c r="G43" s="86"/>
    </row>
    <row r="44" spans="6:7" hidden="1" x14ac:dyDescent="0.2">
      <c r="F44" s="86"/>
      <c r="G44" s="86"/>
    </row>
    <row r="49" spans="5:19" hidden="1" x14ac:dyDescent="0.2">
      <c r="S49" s="86"/>
    </row>
    <row r="50" spans="5:19" hidden="1" x14ac:dyDescent="0.2">
      <c r="S50" s="86"/>
    </row>
    <row r="53" spans="5:19" hidden="1" x14ac:dyDescent="0.2">
      <c r="E53" s="87"/>
      <c r="F53" s="87"/>
    </row>
    <row r="54" spans="5:19" hidden="1" x14ac:dyDescent="0.2">
      <c r="E54" s="88"/>
      <c r="F54" s="88"/>
    </row>
    <row r="55" spans="5:19" hidden="1" x14ac:dyDescent="0.2">
      <c r="E55" s="86"/>
      <c r="F55" s="86"/>
    </row>
    <row r="1048561" x14ac:dyDescent="0.2"/>
    <row r="1048565" s="15" customFormat="1" x14ac:dyDescent="0.2"/>
  </sheetData>
  <mergeCells count="30">
    <mergeCell ref="C11:D11"/>
    <mergeCell ref="C4:D4"/>
    <mergeCell ref="C5:D5"/>
    <mergeCell ref="G5:H5"/>
    <mergeCell ref="C6:D6"/>
    <mergeCell ref="G6:H6"/>
    <mergeCell ref="C7:D7"/>
    <mergeCell ref="G7:H7"/>
    <mergeCell ref="G8:H8"/>
    <mergeCell ref="C9:D9"/>
    <mergeCell ref="G9:H9"/>
    <mergeCell ref="C10:D10"/>
    <mergeCell ref="G10:H10"/>
    <mergeCell ref="G19:H19"/>
    <mergeCell ref="G12:H12"/>
    <mergeCell ref="C13:D13"/>
    <mergeCell ref="G13:H13"/>
    <mergeCell ref="C14:D14"/>
    <mergeCell ref="G14:H14"/>
    <mergeCell ref="C15:D15"/>
    <mergeCell ref="G16:H16"/>
    <mergeCell ref="C17:D17"/>
    <mergeCell ref="G17:H17"/>
    <mergeCell ref="C18:D18"/>
    <mergeCell ref="G18:H18"/>
    <mergeCell ref="G20:H20"/>
    <mergeCell ref="G22:H22"/>
    <mergeCell ref="G24:H24"/>
    <mergeCell ref="C30:D30"/>
    <mergeCell ref="C31:D31"/>
  </mergeCells>
  <dataValidations count="2">
    <dataValidation type="list" allowBlank="1" showInputMessage="1" showErrorMessage="1" sqref="E4" xr:uid="{DB48FF7F-D7C7-46AD-AFDE-2432E8B124F3}">
      <formula1>"X5, X5T, X2, XJET, XJET800"</formula1>
    </dataValidation>
    <dataValidation type="list" allowBlank="1" showInputMessage="1" showErrorMessage="1" sqref="E11" xr:uid="{ABE67DDD-F6DC-44A6-87BC-83B59E1C5EE7}">
      <formula1>$T$25:$T$27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21"/>
  <sheetViews>
    <sheetView workbookViewId="0">
      <selection activeCell="A25" sqref="A25:XFD25"/>
    </sheetView>
  </sheetViews>
  <sheetFormatPr baseColWidth="10" defaultColWidth="8.83203125" defaultRowHeight="15" x14ac:dyDescent="0.2"/>
  <cols>
    <col min="1" max="1" width="44.5" bestFit="1" customWidth="1"/>
    <col min="2" max="4" width="12" bestFit="1" customWidth="1"/>
  </cols>
  <sheetData>
    <row r="1" spans="1:4" x14ac:dyDescent="0.2">
      <c r="B1">
        <f>Helix!I4</f>
        <v>0</v>
      </c>
      <c r="C1" t="e">
        <f>Helix!#REF!</f>
        <v>#REF!</v>
      </c>
      <c r="D1" t="e">
        <f>Helix!#REF!</f>
        <v>#REF!</v>
      </c>
    </row>
    <row r="2" spans="1:4" x14ac:dyDescent="0.2">
      <c r="A2" t="str">
        <f>Helix!G7</f>
        <v>Day</v>
      </c>
      <c r="B2">
        <f>Helix!I7</f>
        <v>1272.5581395348838</v>
      </c>
      <c r="C2">
        <f>Helix!F33</f>
        <v>0</v>
      </c>
      <c r="D2" t="e">
        <f>Helix!#REF!</f>
        <v>#REF!</v>
      </c>
    </row>
    <row r="3" spans="1:4" x14ac:dyDescent="0.2">
      <c r="A3" t="str">
        <f>Helix!G8</f>
        <v>Week</v>
      </c>
      <c r="B3">
        <f>Helix!I8</f>
        <v>6362.7906976744189</v>
      </c>
      <c r="C3">
        <f>Helix!F35</f>
        <v>0</v>
      </c>
      <c r="D3" t="e">
        <f>Helix!#REF!</f>
        <v>#REF!</v>
      </c>
    </row>
    <row r="4" spans="1:4" x14ac:dyDescent="0.2">
      <c r="A4" t="str">
        <f>Helix!G9</f>
        <v>Month</v>
      </c>
      <c r="B4">
        <f>Helix!I9</f>
        <v>25451.162790697676</v>
      </c>
      <c r="C4">
        <f>Helix!F36</f>
        <v>0</v>
      </c>
      <c r="D4">
        <f>Helix!G36</f>
        <v>0</v>
      </c>
    </row>
    <row r="5" spans="1:4" x14ac:dyDescent="0.2">
      <c r="A5" t="str">
        <f>Helix!G10</f>
        <v>Year</v>
      </c>
      <c r="B5">
        <f>Helix!I10</f>
        <v>305413.95348837209</v>
      </c>
      <c r="C5">
        <f>Helix!F37</f>
        <v>0</v>
      </c>
      <c r="D5">
        <f>Helix!G37</f>
        <v>0</v>
      </c>
    </row>
    <row r="9" spans="1:4" x14ac:dyDescent="0.2">
      <c r="A9" t="str">
        <f>Helix!G24</f>
        <v>Day</v>
      </c>
      <c r="B9">
        <f>Helix!I24</f>
        <v>6237.7137209302318</v>
      </c>
      <c r="C9">
        <f>Helix!F40</f>
        <v>0</v>
      </c>
      <c r="D9">
        <f>Helix!G40</f>
        <v>0</v>
      </c>
    </row>
    <row r="10" spans="1:4" x14ac:dyDescent="0.2">
      <c r="A10" t="str">
        <f>Helix!G25</f>
        <v>Week</v>
      </c>
      <c r="B10">
        <f>Helix!I25</f>
        <v>31188.568604651158</v>
      </c>
      <c r="C10">
        <f>Helix!F41</f>
        <v>0</v>
      </c>
      <c r="D10">
        <f>Helix!G41</f>
        <v>0</v>
      </c>
    </row>
    <row r="11" spans="1:4" x14ac:dyDescent="0.2">
      <c r="A11" t="str">
        <f>Helix!G26</f>
        <v>Month</v>
      </c>
      <c r="B11">
        <f>Helix!I26</f>
        <v>124754.27441860463</v>
      </c>
      <c r="C11">
        <f>Helix!F42</f>
        <v>0</v>
      </c>
      <c r="D11">
        <f>Helix!G42</f>
        <v>0</v>
      </c>
    </row>
    <row r="12" spans="1:4" x14ac:dyDescent="0.2">
      <c r="A12" t="str">
        <f>Helix!G27</f>
        <v>Year</v>
      </c>
      <c r="B12">
        <f>Helix!I27</f>
        <v>1497051.2930232554</v>
      </c>
      <c r="C12">
        <f>Helix!F43</f>
        <v>0</v>
      </c>
      <c r="D12">
        <f>Helix!G43</f>
        <v>0</v>
      </c>
    </row>
    <row r="15" spans="1:4" x14ac:dyDescent="0.2">
      <c r="A15" t="str">
        <f>Helix!G29</f>
        <v xml:space="preserve">PRICE OF MACHINE </v>
      </c>
      <c r="B15" t="e">
        <f>Helix!#REF!</f>
        <v>#REF!</v>
      </c>
      <c r="C15">
        <f>Helix!I29</f>
        <v>200000</v>
      </c>
    </row>
    <row r="16" spans="1:4" x14ac:dyDescent="0.2">
      <c r="B16" t="e">
        <f>Helix!#REF!</f>
        <v>#REF!</v>
      </c>
      <c r="C16">
        <f>Helix!F47</f>
        <v>0</v>
      </c>
    </row>
    <row r="19" spans="1:3" x14ac:dyDescent="0.2">
      <c r="A19">
        <f>Helix!D56</f>
        <v>0</v>
      </c>
      <c r="B19">
        <f>Helix!E56</f>
        <v>0</v>
      </c>
      <c r="C19">
        <f>Helix!F56</f>
        <v>0</v>
      </c>
    </row>
    <row r="20" spans="1:3" x14ac:dyDescent="0.2">
      <c r="A20">
        <f>Helix!D57</f>
        <v>0</v>
      </c>
      <c r="B20">
        <f>Helix!E57</f>
        <v>0</v>
      </c>
      <c r="C20">
        <f>Helix!F57</f>
        <v>0</v>
      </c>
    </row>
    <row r="21" spans="1:3" x14ac:dyDescent="0.2">
      <c r="A21">
        <f>Helix!D58</f>
        <v>0</v>
      </c>
      <c r="B21">
        <f>Helix!E58</f>
        <v>0</v>
      </c>
      <c r="C21">
        <f>Helix!F58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Outsource ArtPrep</vt:lpstr>
      <vt:lpstr>Insource ArtPrep</vt:lpstr>
      <vt:lpstr>ArtPrep</vt:lpstr>
      <vt:lpstr>Helix</vt:lpstr>
      <vt:lpstr>Flatbed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Chrisos</dc:creator>
  <cp:lastModifiedBy>Jessica Makrinos</cp:lastModifiedBy>
  <dcterms:created xsi:type="dcterms:W3CDTF">2014-05-07T20:13:06Z</dcterms:created>
  <dcterms:modified xsi:type="dcterms:W3CDTF">2022-03-01T17:16:33Z</dcterms:modified>
</cp:coreProperties>
</file>